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B1269F7-AF73-4026-AE3A-9DD88A1382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puts" sheetId="1" r:id="rId1"/>
    <sheet name="Cost Analysis" sheetId="3" r:id="rId2"/>
    <sheet name="Lookups" sheetId="2" r:id="rId3"/>
  </sheets>
  <definedNames>
    <definedName name="alpha">Inputs!$S$8</definedName>
    <definedName name="beta">Inputs!$S$7</definedName>
    <definedName name="beta_dh">Inputs!$AC$7</definedName>
    <definedName name="d_tau">Inputs!$AC$6</definedName>
    <definedName name="delta">Inputs!$S$6</definedName>
    <definedName name="Drop">Inputs!$AC$8</definedName>
    <definedName name="EH_Factor">Inputs!$W$3</definedName>
    <definedName name="eta">Inputs!$S$3</definedName>
    <definedName name="Flexure_Factor">Inputs!$Z$2</definedName>
    <definedName name="FoS">Inputs!$S$4</definedName>
    <definedName name="Fy">Inputs!$S$11</definedName>
    <definedName name="Ka">Inputs!$S$9</definedName>
    <definedName name="LS_Factor">Inputs!$W$2</definedName>
    <definedName name="Method">Inputs!$AB$2</definedName>
    <definedName name="phi">Inputs!$S$5</definedName>
    <definedName name="Pile_Top">Inputs!$S$10</definedName>
    <definedName name="_xlnm.Print_Area" localSheetId="0">Inputs!$A$1:$AD$35</definedName>
    <definedName name="Shaft_Load">Inputs!$R$2</definedName>
    <definedName name="Shear_Factor">Inputs!$Z$3</definedName>
    <definedName name="Wall_Base">Inputs!$AC$4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C22" i="1" l="1"/>
  <c r="BG22" i="1" s="1"/>
  <c r="AX22" i="1"/>
  <c r="AZ22" i="1" s="1"/>
  <c r="BA22" i="1" s="1"/>
  <c r="AT22" i="1"/>
  <c r="AV22" i="1" s="1"/>
  <c r="AW22" i="1" s="1"/>
  <c r="AR22" i="1"/>
  <c r="AC22" i="1"/>
  <c r="AB22" i="1"/>
  <c r="Z22" i="1"/>
  <c r="Y22" i="1"/>
  <c r="V22" i="1"/>
  <c r="U22" i="1"/>
  <c r="S22" i="1"/>
  <c r="R22" i="1"/>
  <c r="Q22" i="1"/>
  <c r="P22" i="1"/>
  <c r="O22" i="1"/>
  <c r="AP22" i="1" s="1"/>
  <c r="AQ22" i="1" s="1"/>
  <c r="H22" i="1"/>
  <c r="I22" i="1" s="1"/>
  <c r="E22" i="1"/>
  <c r="W22" i="1" s="1"/>
  <c r="X22" i="1" s="1"/>
  <c r="BD21" i="1"/>
  <c r="BC21" i="1"/>
  <c r="BG21" i="1" s="1"/>
  <c r="BH21" i="1" s="1"/>
  <c r="BI21" i="1" s="1"/>
  <c r="AZ21" i="1"/>
  <c r="BA21" i="1" s="1"/>
  <c r="AX21" i="1"/>
  <c r="AT21" i="1"/>
  <c r="AV21" i="1" s="1"/>
  <c r="AW21" i="1" s="1"/>
  <c r="AR21" i="1"/>
  <c r="AC21" i="1"/>
  <c r="AB21" i="1"/>
  <c r="Z21" i="1"/>
  <c r="Y21" i="1"/>
  <c r="V21" i="1"/>
  <c r="U21" i="1"/>
  <c r="S21" i="1"/>
  <c r="R21" i="1"/>
  <c r="Q21" i="1"/>
  <c r="P21" i="1"/>
  <c r="O21" i="1"/>
  <c r="AP21" i="1" s="1"/>
  <c r="AQ21" i="1" s="1"/>
  <c r="I21" i="1"/>
  <c r="E21" i="1"/>
  <c r="W21" i="1" s="1"/>
  <c r="X21" i="1" s="1"/>
  <c r="AC20" i="1"/>
  <c r="Z20" i="1"/>
  <c r="BH22" i="1" l="1"/>
  <c r="BI22" i="1" s="1"/>
  <c r="BD22" i="1"/>
  <c r="BE22" i="1" s="1"/>
  <c r="BF22" i="1" s="1"/>
  <c r="AD22" i="1"/>
  <c r="AA22" i="1"/>
  <c r="AG22" i="1"/>
  <c r="AH22" i="1" s="1"/>
  <c r="AI22" i="1" s="1"/>
  <c r="BE21" i="1"/>
  <c r="BF21" i="1" s="1"/>
  <c r="AA21" i="1"/>
  <c r="AG21" i="1"/>
  <c r="AH21" i="1" s="1"/>
  <c r="AI21" i="1" s="1"/>
  <c r="AD21" i="1"/>
  <c r="H20" i="1"/>
  <c r="AJ22" i="1" l="1"/>
  <c r="AK22" i="1" s="1"/>
  <c r="AY22" i="1" s="1"/>
  <c r="AU22" i="1"/>
  <c r="AU21" i="1"/>
  <c r="AJ21" i="1"/>
  <c r="AK21" i="1" s="1"/>
  <c r="AY21" i="1" s="1"/>
  <c r="E20" i="1"/>
  <c r="W20" i="1" s="1"/>
  <c r="X20" i="1" s="1"/>
  <c r="I20" i="1"/>
  <c r="O20" i="1"/>
  <c r="AP20" i="1" s="1"/>
  <c r="AQ20" i="1" s="1"/>
  <c r="BM20" i="1" s="1"/>
  <c r="P20" i="1"/>
  <c r="Q20" i="1"/>
  <c r="R20" i="1"/>
  <c r="S20" i="1"/>
  <c r="U20" i="1"/>
  <c r="V20" i="1"/>
  <c r="AR20" i="1"/>
  <c r="BN20" i="1" s="1"/>
  <c r="AT20" i="1"/>
  <c r="AX20" i="1"/>
  <c r="BC20" i="1"/>
  <c r="BD20" i="1" s="1"/>
  <c r="BG20" i="1" l="1"/>
  <c r="BH20" i="1" s="1"/>
  <c r="BI20" i="1" s="1"/>
  <c r="BP20" i="1" s="1"/>
  <c r="BE20" i="1"/>
  <c r="BF20" i="1" s="1"/>
  <c r="BO20" i="1" s="1"/>
  <c r="AV20" i="1"/>
  <c r="AW20" i="1" s="1"/>
  <c r="BQ20" i="1" l="1"/>
  <c r="BK20" i="1" s="1"/>
  <c r="V36" i="1"/>
  <c r="U36" i="1"/>
  <c r="T36" i="1"/>
  <c r="S36" i="1"/>
  <c r="R36" i="1"/>
  <c r="Q36" i="1"/>
  <c r="P36" i="1"/>
  <c r="K36" i="1"/>
  <c r="J36" i="1"/>
  <c r="I36" i="1"/>
  <c r="H36" i="1"/>
  <c r="G36" i="1"/>
  <c r="F36" i="1"/>
  <c r="E36" i="1"/>
  <c r="D36" i="1"/>
  <c r="C36" i="1"/>
  <c r="B36" i="1"/>
  <c r="A36" i="1"/>
  <c r="B33" i="1" l="1"/>
  <c r="C33" i="1"/>
  <c r="D33" i="1"/>
  <c r="E33" i="1"/>
  <c r="F33" i="1"/>
  <c r="G33" i="1"/>
  <c r="H33" i="1"/>
  <c r="I33" i="1"/>
  <c r="J33" i="1"/>
  <c r="K33" i="1"/>
  <c r="P33" i="1"/>
  <c r="Q33" i="1"/>
  <c r="R33" i="1"/>
  <c r="S33" i="1"/>
  <c r="T33" i="1"/>
  <c r="U33" i="1"/>
  <c r="V33" i="1"/>
  <c r="B34" i="1"/>
  <c r="C34" i="1"/>
  <c r="D34" i="1"/>
  <c r="E34" i="1"/>
  <c r="F34" i="1"/>
  <c r="G34" i="1"/>
  <c r="H34" i="1"/>
  <c r="I34" i="1"/>
  <c r="J34" i="1"/>
  <c r="K34" i="1"/>
  <c r="P34" i="1"/>
  <c r="Q34" i="1"/>
  <c r="R34" i="1"/>
  <c r="S34" i="1"/>
  <c r="T34" i="1"/>
  <c r="U34" i="1"/>
  <c r="V34" i="1"/>
  <c r="B35" i="1"/>
  <c r="C35" i="1"/>
  <c r="D35" i="1"/>
  <c r="E35" i="1"/>
  <c r="F35" i="1"/>
  <c r="G35" i="1"/>
  <c r="H35" i="1"/>
  <c r="I35" i="1"/>
  <c r="J35" i="1"/>
  <c r="K35" i="1"/>
  <c r="P35" i="1"/>
  <c r="Q35" i="1"/>
  <c r="R35" i="1"/>
  <c r="S35" i="1"/>
  <c r="T35" i="1"/>
  <c r="U35" i="1"/>
  <c r="V35" i="1"/>
  <c r="BN24" i="1"/>
  <c r="BM24" i="1"/>
  <c r="BP24" i="1" l="1"/>
  <c r="BO24" i="1"/>
  <c r="BQ24" i="1" l="1"/>
  <c r="X36" i="1" s="1"/>
  <c r="C32" i="1"/>
  <c r="D32" i="1"/>
  <c r="B32" i="1"/>
  <c r="A33" i="1"/>
  <c r="A35" i="1"/>
  <c r="A32" i="1"/>
  <c r="H32" i="1"/>
  <c r="G32" i="1"/>
  <c r="F32" i="1"/>
  <c r="K32" i="1" l="1"/>
  <c r="BN23" i="1"/>
  <c r="BN22" i="1"/>
  <c r="BN21" i="1"/>
  <c r="BM23" i="1" l="1"/>
  <c r="BM22" i="1"/>
  <c r="BO23" i="1" l="1"/>
  <c r="BP23" i="1"/>
  <c r="G21" i="3"/>
  <c r="G20" i="3"/>
  <c r="G19" i="3"/>
  <c r="G18" i="3"/>
  <c r="F21" i="3"/>
  <c r="F20" i="3"/>
  <c r="F19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32" i="1"/>
  <c r="BQ23" i="1" l="1"/>
  <c r="X35" i="1" s="1"/>
  <c r="BP22" i="1"/>
  <c r="BO22" i="1"/>
  <c r="BQ22" i="1" l="1"/>
  <c r="S6" i="1"/>
  <c r="S9" i="1" s="1"/>
  <c r="BK22" i="1" l="1"/>
  <c r="X34" i="1" s="1"/>
  <c r="AB20" i="1"/>
  <c r="AD20" i="1" s="1"/>
  <c r="AG20" i="1"/>
  <c r="AH20" i="1" s="1"/>
  <c r="AI20" i="1" s="1"/>
  <c r="Y20" i="1"/>
  <c r="AA20" i="1" s="1"/>
  <c r="BM21" i="1"/>
  <c r="AJ20" i="1" l="1"/>
  <c r="AK20" i="1" s="1"/>
  <c r="AY20" i="1" s="1"/>
  <c r="AU20" i="1"/>
  <c r="BP21" i="1"/>
  <c r="BO21" i="1"/>
  <c r="K120" i="3"/>
  <c r="J120" i="3"/>
  <c r="I120" i="3"/>
  <c r="K119" i="3"/>
  <c r="J119" i="3"/>
  <c r="I119" i="3"/>
  <c r="K118" i="3"/>
  <c r="J118" i="3"/>
  <c r="I118" i="3"/>
  <c r="K117" i="3"/>
  <c r="J117" i="3"/>
  <c r="I117" i="3"/>
  <c r="K116" i="3"/>
  <c r="J116" i="3"/>
  <c r="I116" i="3"/>
  <c r="K115" i="3"/>
  <c r="J115" i="3"/>
  <c r="I115" i="3"/>
  <c r="K114" i="3"/>
  <c r="J114" i="3"/>
  <c r="I114" i="3"/>
  <c r="K113" i="3"/>
  <c r="J113" i="3"/>
  <c r="I113" i="3"/>
  <c r="K112" i="3"/>
  <c r="J112" i="3"/>
  <c r="I112" i="3"/>
  <c r="K111" i="3"/>
  <c r="J111" i="3"/>
  <c r="I111" i="3"/>
  <c r="K110" i="3"/>
  <c r="J110" i="3"/>
  <c r="I110" i="3"/>
  <c r="K109" i="3"/>
  <c r="J109" i="3"/>
  <c r="I109" i="3"/>
  <c r="K108" i="3"/>
  <c r="J108" i="3"/>
  <c r="I108" i="3"/>
  <c r="K107" i="3"/>
  <c r="J107" i="3"/>
  <c r="I107" i="3"/>
  <c r="K106" i="3"/>
  <c r="J106" i="3"/>
  <c r="I106" i="3"/>
  <c r="K105" i="3"/>
  <c r="J105" i="3"/>
  <c r="I105" i="3"/>
  <c r="K104" i="3"/>
  <c r="J104" i="3"/>
  <c r="I104" i="3"/>
  <c r="K103" i="3"/>
  <c r="J103" i="3"/>
  <c r="I103" i="3"/>
  <c r="K102" i="3"/>
  <c r="J102" i="3"/>
  <c r="I102" i="3"/>
  <c r="K101" i="3"/>
  <c r="J101" i="3"/>
  <c r="I101" i="3"/>
  <c r="K100" i="3"/>
  <c r="J100" i="3"/>
  <c r="I100" i="3"/>
  <c r="K99" i="3"/>
  <c r="J99" i="3"/>
  <c r="I99" i="3"/>
  <c r="K98" i="3"/>
  <c r="J98" i="3"/>
  <c r="I98" i="3"/>
  <c r="K97" i="3"/>
  <c r="J97" i="3"/>
  <c r="I97" i="3"/>
  <c r="K96" i="3"/>
  <c r="J96" i="3"/>
  <c r="I96" i="3"/>
  <c r="K95" i="3"/>
  <c r="J95" i="3"/>
  <c r="I95" i="3"/>
  <c r="K94" i="3"/>
  <c r="J94" i="3"/>
  <c r="I94" i="3"/>
  <c r="K93" i="3"/>
  <c r="J93" i="3"/>
  <c r="I93" i="3"/>
  <c r="K92" i="3"/>
  <c r="J92" i="3"/>
  <c r="I92" i="3"/>
  <c r="K91" i="3"/>
  <c r="J91" i="3"/>
  <c r="I91" i="3"/>
  <c r="K90" i="3"/>
  <c r="J90" i="3"/>
  <c r="I90" i="3"/>
  <c r="K89" i="3"/>
  <c r="J89" i="3"/>
  <c r="I89" i="3"/>
  <c r="K88" i="3"/>
  <c r="J88" i="3"/>
  <c r="I88" i="3"/>
  <c r="K87" i="3"/>
  <c r="J87" i="3"/>
  <c r="I87" i="3"/>
  <c r="K86" i="3"/>
  <c r="J86" i="3"/>
  <c r="I86" i="3"/>
  <c r="K85" i="3"/>
  <c r="J85" i="3"/>
  <c r="I85" i="3"/>
  <c r="K84" i="3"/>
  <c r="J84" i="3"/>
  <c r="I84" i="3"/>
  <c r="K83" i="3"/>
  <c r="J83" i="3"/>
  <c r="I83" i="3"/>
  <c r="K82" i="3"/>
  <c r="J82" i="3"/>
  <c r="I82" i="3"/>
  <c r="K81" i="3"/>
  <c r="J81" i="3"/>
  <c r="I81" i="3"/>
  <c r="K80" i="3"/>
  <c r="J80" i="3"/>
  <c r="I80" i="3"/>
  <c r="K79" i="3"/>
  <c r="J79" i="3"/>
  <c r="I79" i="3"/>
  <c r="K78" i="3"/>
  <c r="J78" i="3"/>
  <c r="I78" i="3"/>
  <c r="K77" i="3"/>
  <c r="J77" i="3"/>
  <c r="I77" i="3"/>
  <c r="K76" i="3"/>
  <c r="J76" i="3"/>
  <c r="I76" i="3"/>
  <c r="K75" i="3"/>
  <c r="J75" i="3"/>
  <c r="I75" i="3"/>
  <c r="K74" i="3"/>
  <c r="J74" i="3"/>
  <c r="I74" i="3"/>
  <c r="K73" i="3"/>
  <c r="J73" i="3"/>
  <c r="I73" i="3"/>
  <c r="K72" i="3"/>
  <c r="J72" i="3"/>
  <c r="I72" i="3"/>
  <c r="K71" i="3"/>
  <c r="J71" i="3"/>
  <c r="I71" i="3"/>
  <c r="K70" i="3"/>
  <c r="J70" i="3"/>
  <c r="I70" i="3"/>
  <c r="K69" i="3"/>
  <c r="J69" i="3"/>
  <c r="I69" i="3"/>
  <c r="K68" i="3"/>
  <c r="J68" i="3"/>
  <c r="I68" i="3"/>
  <c r="K67" i="3"/>
  <c r="J67" i="3"/>
  <c r="I67" i="3"/>
  <c r="K66" i="3"/>
  <c r="J66" i="3"/>
  <c r="I66" i="3"/>
  <c r="K65" i="3"/>
  <c r="J65" i="3"/>
  <c r="I65" i="3"/>
  <c r="K64" i="3"/>
  <c r="J64" i="3"/>
  <c r="I64" i="3"/>
  <c r="K63" i="3"/>
  <c r="J63" i="3"/>
  <c r="I63" i="3"/>
  <c r="K62" i="3"/>
  <c r="J62" i="3"/>
  <c r="I62" i="3"/>
  <c r="K61" i="3"/>
  <c r="J61" i="3"/>
  <c r="I61" i="3"/>
  <c r="K60" i="3"/>
  <c r="J60" i="3"/>
  <c r="I60" i="3"/>
  <c r="K59" i="3"/>
  <c r="J59" i="3"/>
  <c r="I59" i="3"/>
  <c r="K58" i="3"/>
  <c r="J58" i="3"/>
  <c r="I58" i="3"/>
  <c r="K57" i="3"/>
  <c r="J57" i="3"/>
  <c r="I57" i="3"/>
  <c r="K56" i="3"/>
  <c r="J56" i="3"/>
  <c r="I56" i="3"/>
  <c r="K55" i="3"/>
  <c r="J55" i="3"/>
  <c r="I55" i="3"/>
  <c r="K54" i="3"/>
  <c r="J54" i="3"/>
  <c r="I54" i="3"/>
  <c r="K53" i="3"/>
  <c r="J53" i="3"/>
  <c r="I53" i="3"/>
  <c r="K52" i="3"/>
  <c r="J52" i="3"/>
  <c r="I52" i="3"/>
  <c r="K51" i="3"/>
  <c r="J51" i="3"/>
  <c r="I51" i="3"/>
  <c r="K50" i="3"/>
  <c r="J50" i="3"/>
  <c r="I50" i="3"/>
  <c r="K49" i="3"/>
  <c r="J49" i="3"/>
  <c r="I49" i="3"/>
  <c r="K48" i="3"/>
  <c r="J48" i="3"/>
  <c r="I48" i="3"/>
  <c r="K47" i="3"/>
  <c r="J47" i="3"/>
  <c r="I47" i="3"/>
  <c r="K46" i="3"/>
  <c r="J46" i="3"/>
  <c r="I46" i="3"/>
  <c r="K45" i="3"/>
  <c r="J45" i="3"/>
  <c r="I45" i="3"/>
  <c r="K44" i="3"/>
  <c r="J44" i="3"/>
  <c r="I44" i="3"/>
  <c r="K43" i="3"/>
  <c r="J43" i="3"/>
  <c r="I43" i="3"/>
  <c r="K42" i="3"/>
  <c r="J42" i="3"/>
  <c r="I42" i="3"/>
  <c r="K41" i="3"/>
  <c r="J41" i="3"/>
  <c r="I41" i="3"/>
  <c r="K40" i="3"/>
  <c r="J40" i="3"/>
  <c r="I40" i="3"/>
  <c r="K39" i="3"/>
  <c r="J39" i="3"/>
  <c r="I39" i="3"/>
  <c r="K38" i="3"/>
  <c r="J38" i="3"/>
  <c r="I38" i="3"/>
  <c r="K37" i="3"/>
  <c r="J37" i="3"/>
  <c r="I37" i="3"/>
  <c r="K36" i="3"/>
  <c r="J36" i="3"/>
  <c r="I36" i="3"/>
  <c r="K35" i="3"/>
  <c r="J35" i="3"/>
  <c r="I35" i="3"/>
  <c r="K34" i="3"/>
  <c r="J34" i="3"/>
  <c r="I34" i="3"/>
  <c r="K33" i="3"/>
  <c r="J33" i="3"/>
  <c r="I33" i="3"/>
  <c r="K32" i="3"/>
  <c r="J32" i="3"/>
  <c r="I32" i="3"/>
  <c r="K31" i="3"/>
  <c r="J31" i="3"/>
  <c r="I31" i="3"/>
  <c r="K30" i="3"/>
  <c r="J30" i="3"/>
  <c r="I30" i="3"/>
  <c r="K29" i="3"/>
  <c r="J29" i="3"/>
  <c r="I29" i="3"/>
  <c r="K28" i="3"/>
  <c r="J28" i="3"/>
  <c r="I28" i="3"/>
  <c r="K27" i="3"/>
  <c r="J27" i="3"/>
  <c r="I27" i="3"/>
  <c r="K26" i="3"/>
  <c r="J26" i="3"/>
  <c r="I26" i="3"/>
  <c r="K25" i="3"/>
  <c r="J25" i="3"/>
  <c r="I25" i="3"/>
  <c r="K24" i="3"/>
  <c r="J24" i="3"/>
  <c r="I24" i="3"/>
  <c r="K23" i="3"/>
  <c r="J23" i="3"/>
  <c r="I23" i="3"/>
  <c r="K22" i="3"/>
  <c r="J22" i="3"/>
  <c r="I22" i="3"/>
  <c r="K21" i="3"/>
  <c r="J21" i="3"/>
  <c r="I21" i="3"/>
  <c r="K20" i="3"/>
  <c r="J20" i="3"/>
  <c r="I20" i="3"/>
  <c r="K19" i="3"/>
  <c r="J19" i="3"/>
  <c r="I19" i="3"/>
  <c r="K18" i="3"/>
  <c r="J18" i="3"/>
  <c r="I18" i="3"/>
  <c r="K17" i="3"/>
  <c r="J17" i="3"/>
  <c r="I17" i="3"/>
  <c r="K16" i="3"/>
  <c r="J16" i="3"/>
  <c r="I16" i="3"/>
  <c r="K15" i="3"/>
  <c r="J15" i="3"/>
  <c r="I15" i="3"/>
  <c r="K14" i="3"/>
  <c r="J14" i="3"/>
  <c r="I14" i="3"/>
  <c r="K13" i="3"/>
  <c r="J13" i="3"/>
  <c r="I13" i="3"/>
  <c r="K12" i="3"/>
  <c r="J12" i="3"/>
  <c r="I12" i="3"/>
  <c r="K11" i="3"/>
  <c r="J11" i="3"/>
  <c r="I11" i="3"/>
  <c r="K10" i="3"/>
  <c r="J10" i="3"/>
  <c r="I10" i="3"/>
  <c r="K9" i="3"/>
  <c r="J9" i="3"/>
  <c r="I9" i="3"/>
  <c r="K8" i="3"/>
  <c r="J8" i="3"/>
  <c r="I8" i="3"/>
  <c r="H120" i="3"/>
  <c r="P120" i="3" s="1"/>
  <c r="H119" i="3"/>
  <c r="P119" i="3" s="1"/>
  <c r="H118" i="3"/>
  <c r="P118" i="3" s="1"/>
  <c r="H117" i="3"/>
  <c r="P117" i="3" s="1"/>
  <c r="H116" i="3"/>
  <c r="P116" i="3" s="1"/>
  <c r="H115" i="3"/>
  <c r="P115" i="3" s="1"/>
  <c r="H114" i="3"/>
  <c r="P114" i="3" s="1"/>
  <c r="H113" i="3"/>
  <c r="P113" i="3" s="1"/>
  <c r="H112" i="3"/>
  <c r="P112" i="3" s="1"/>
  <c r="H111" i="3"/>
  <c r="P111" i="3" s="1"/>
  <c r="H110" i="3"/>
  <c r="P110" i="3" s="1"/>
  <c r="H109" i="3"/>
  <c r="P109" i="3" s="1"/>
  <c r="H108" i="3"/>
  <c r="P108" i="3" s="1"/>
  <c r="H107" i="3"/>
  <c r="P107" i="3" s="1"/>
  <c r="H106" i="3"/>
  <c r="P106" i="3" s="1"/>
  <c r="H105" i="3"/>
  <c r="P105" i="3" s="1"/>
  <c r="H104" i="3"/>
  <c r="P104" i="3" s="1"/>
  <c r="H103" i="3"/>
  <c r="P103" i="3" s="1"/>
  <c r="H102" i="3"/>
  <c r="P102" i="3" s="1"/>
  <c r="H101" i="3"/>
  <c r="P101" i="3" s="1"/>
  <c r="H100" i="3"/>
  <c r="P100" i="3" s="1"/>
  <c r="H99" i="3"/>
  <c r="P99" i="3" s="1"/>
  <c r="H98" i="3"/>
  <c r="P98" i="3" s="1"/>
  <c r="H97" i="3"/>
  <c r="P97" i="3" s="1"/>
  <c r="H96" i="3"/>
  <c r="P96" i="3" s="1"/>
  <c r="H95" i="3"/>
  <c r="P95" i="3" s="1"/>
  <c r="H94" i="3"/>
  <c r="P94" i="3" s="1"/>
  <c r="H93" i="3"/>
  <c r="P93" i="3" s="1"/>
  <c r="H92" i="3"/>
  <c r="P92" i="3" s="1"/>
  <c r="H91" i="3"/>
  <c r="P91" i="3" s="1"/>
  <c r="H90" i="3"/>
  <c r="P90" i="3" s="1"/>
  <c r="H89" i="3"/>
  <c r="P89" i="3" s="1"/>
  <c r="H88" i="3"/>
  <c r="P88" i="3" s="1"/>
  <c r="H87" i="3"/>
  <c r="P87" i="3" s="1"/>
  <c r="H86" i="3"/>
  <c r="P86" i="3" s="1"/>
  <c r="H85" i="3"/>
  <c r="P85" i="3" s="1"/>
  <c r="H84" i="3"/>
  <c r="P84" i="3" s="1"/>
  <c r="H83" i="3"/>
  <c r="P83" i="3" s="1"/>
  <c r="H82" i="3"/>
  <c r="P82" i="3" s="1"/>
  <c r="H81" i="3"/>
  <c r="P81" i="3" s="1"/>
  <c r="H80" i="3"/>
  <c r="P80" i="3" s="1"/>
  <c r="H79" i="3"/>
  <c r="P79" i="3" s="1"/>
  <c r="H78" i="3"/>
  <c r="P78" i="3" s="1"/>
  <c r="H77" i="3"/>
  <c r="P77" i="3" s="1"/>
  <c r="H76" i="3"/>
  <c r="P76" i="3" s="1"/>
  <c r="H75" i="3"/>
  <c r="P75" i="3" s="1"/>
  <c r="H74" i="3"/>
  <c r="P74" i="3" s="1"/>
  <c r="H73" i="3"/>
  <c r="P73" i="3" s="1"/>
  <c r="H72" i="3"/>
  <c r="P72" i="3" s="1"/>
  <c r="H71" i="3"/>
  <c r="P71" i="3" s="1"/>
  <c r="H70" i="3"/>
  <c r="P70" i="3" s="1"/>
  <c r="H69" i="3"/>
  <c r="P69" i="3" s="1"/>
  <c r="H68" i="3"/>
  <c r="P68" i="3" s="1"/>
  <c r="H67" i="3"/>
  <c r="P67" i="3" s="1"/>
  <c r="H66" i="3"/>
  <c r="P66" i="3" s="1"/>
  <c r="H65" i="3"/>
  <c r="P65" i="3" s="1"/>
  <c r="H64" i="3"/>
  <c r="P64" i="3" s="1"/>
  <c r="H63" i="3"/>
  <c r="P63" i="3" s="1"/>
  <c r="H62" i="3"/>
  <c r="P62" i="3" s="1"/>
  <c r="H61" i="3"/>
  <c r="P61" i="3" s="1"/>
  <c r="H60" i="3"/>
  <c r="P60" i="3" s="1"/>
  <c r="H59" i="3"/>
  <c r="P59" i="3" s="1"/>
  <c r="H58" i="3"/>
  <c r="P58" i="3" s="1"/>
  <c r="H57" i="3"/>
  <c r="P57" i="3" s="1"/>
  <c r="H56" i="3"/>
  <c r="P56" i="3" s="1"/>
  <c r="H55" i="3"/>
  <c r="P55" i="3" s="1"/>
  <c r="H54" i="3"/>
  <c r="P54" i="3" s="1"/>
  <c r="H53" i="3"/>
  <c r="P53" i="3" s="1"/>
  <c r="H52" i="3"/>
  <c r="P52" i="3" s="1"/>
  <c r="H51" i="3"/>
  <c r="P51" i="3" s="1"/>
  <c r="H50" i="3"/>
  <c r="P50" i="3" s="1"/>
  <c r="H49" i="3"/>
  <c r="P49" i="3" s="1"/>
  <c r="H48" i="3"/>
  <c r="P48" i="3" s="1"/>
  <c r="H47" i="3"/>
  <c r="P47" i="3" s="1"/>
  <c r="H46" i="3"/>
  <c r="P46" i="3" s="1"/>
  <c r="H45" i="3"/>
  <c r="P45" i="3" s="1"/>
  <c r="H44" i="3"/>
  <c r="P44" i="3" s="1"/>
  <c r="H43" i="3"/>
  <c r="P43" i="3" s="1"/>
  <c r="H42" i="3"/>
  <c r="P42" i="3" s="1"/>
  <c r="H41" i="3"/>
  <c r="P41" i="3" s="1"/>
  <c r="H40" i="3"/>
  <c r="P40" i="3" s="1"/>
  <c r="H39" i="3"/>
  <c r="P39" i="3" s="1"/>
  <c r="H38" i="3"/>
  <c r="P38" i="3" s="1"/>
  <c r="H37" i="3"/>
  <c r="P37" i="3" s="1"/>
  <c r="H36" i="3"/>
  <c r="P36" i="3" s="1"/>
  <c r="H35" i="3"/>
  <c r="P35" i="3" s="1"/>
  <c r="H34" i="3"/>
  <c r="P34" i="3" s="1"/>
  <c r="H33" i="3"/>
  <c r="P33" i="3" s="1"/>
  <c r="H32" i="3"/>
  <c r="P32" i="3" s="1"/>
  <c r="H31" i="3"/>
  <c r="P31" i="3" s="1"/>
  <c r="H30" i="3"/>
  <c r="P30" i="3" s="1"/>
  <c r="H29" i="3"/>
  <c r="P29" i="3" s="1"/>
  <c r="H28" i="3"/>
  <c r="P28" i="3" s="1"/>
  <c r="H27" i="3"/>
  <c r="P27" i="3" s="1"/>
  <c r="H26" i="3"/>
  <c r="P26" i="3" s="1"/>
  <c r="H25" i="3"/>
  <c r="P25" i="3" s="1"/>
  <c r="H24" i="3"/>
  <c r="P24" i="3" s="1"/>
  <c r="H23" i="3"/>
  <c r="P23" i="3" s="1"/>
  <c r="H22" i="3"/>
  <c r="P22" i="3" s="1"/>
  <c r="H21" i="3"/>
  <c r="P21" i="3" s="1"/>
  <c r="H20" i="3"/>
  <c r="P20" i="3" s="1"/>
  <c r="H19" i="3"/>
  <c r="P19" i="3" s="1"/>
  <c r="H18" i="3"/>
  <c r="P18" i="3" s="1"/>
  <c r="H17" i="3"/>
  <c r="P17" i="3" s="1"/>
  <c r="H16" i="3"/>
  <c r="P16" i="3" s="1"/>
  <c r="H15" i="3"/>
  <c r="P15" i="3" s="1"/>
  <c r="H14" i="3"/>
  <c r="H13" i="3"/>
  <c r="H12" i="3"/>
  <c r="H11" i="3"/>
  <c r="H10" i="3"/>
  <c r="H9" i="3"/>
  <c r="H8" i="3"/>
  <c r="BQ21" i="1" l="1"/>
  <c r="BK21" i="1" s="1"/>
  <c r="X33" i="1" l="1"/>
  <c r="G120" i="3"/>
  <c r="F120" i="3"/>
  <c r="G119" i="3"/>
  <c r="F119" i="3"/>
  <c r="G118" i="3"/>
  <c r="F118" i="3"/>
  <c r="G117" i="3"/>
  <c r="F117" i="3"/>
  <c r="G116" i="3"/>
  <c r="F116" i="3"/>
  <c r="G115" i="3"/>
  <c r="F115" i="3"/>
  <c r="G114" i="3"/>
  <c r="F114" i="3"/>
  <c r="G113" i="3"/>
  <c r="F113" i="3"/>
  <c r="G112" i="3"/>
  <c r="F112" i="3"/>
  <c r="G111" i="3"/>
  <c r="F111" i="3"/>
  <c r="G110" i="3"/>
  <c r="F110" i="3"/>
  <c r="G109" i="3"/>
  <c r="F109" i="3"/>
  <c r="G108" i="3"/>
  <c r="F108" i="3"/>
  <c r="G107" i="3"/>
  <c r="F107" i="3"/>
  <c r="G106" i="3"/>
  <c r="F106" i="3"/>
  <c r="G105" i="3"/>
  <c r="F105" i="3"/>
  <c r="G104" i="3"/>
  <c r="F104" i="3"/>
  <c r="G103" i="3"/>
  <c r="F103" i="3"/>
  <c r="G102" i="3"/>
  <c r="F102" i="3"/>
  <c r="G101" i="3"/>
  <c r="F101" i="3"/>
  <c r="G100" i="3"/>
  <c r="F100" i="3"/>
  <c r="G99" i="3"/>
  <c r="F99" i="3"/>
  <c r="G98" i="3"/>
  <c r="F98" i="3"/>
  <c r="G97" i="3"/>
  <c r="F97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F83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5" i="3"/>
  <c r="F75" i="3"/>
  <c r="G74" i="3"/>
  <c r="F74" i="3"/>
  <c r="G73" i="3"/>
  <c r="F73" i="3"/>
  <c r="G72" i="3"/>
  <c r="F72" i="3"/>
  <c r="G71" i="3"/>
  <c r="F71" i="3"/>
  <c r="G70" i="3"/>
  <c r="F70" i="3"/>
  <c r="G69" i="3"/>
  <c r="F69" i="3"/>
  <c r="G68" i="3"/>
  <c r="F68" i="3"/>
  <c r="G67" i="3"/>
  <c r="F67" i="3"/>
  <c r="G66" i="3"/>
  <c r="F66" i="3"/>
  <c r="G65" i="3"/>
  <c r="F65" i="3"/>
  <c r="G64" i="3"/>
  <c r="F64" i="3"/>
  <c r="G63" i="3"/>
  <c r="F63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P32" i="1"/>
  <c r="G9" i="3" l="1"/>
  <c r="G10" i="3"/>
  <c r="G11" i="3"/>
  <c r="G12" i="3"/>
  <c r="G13" i="3"/>
  <c r="G14" i="3"/>
  <c r="G15" i="3"/>
  <c r="G16" i="3"/>
  <c r="G17" i="3"/>
  <c r="G22" i="3"/>
  <c r="F8" i="3"/>
  <c r="G8" i="3"/>
  <c r="F9" i="3"/>
  <c r="F10" i="3"/>
  <c r="F11" i="3"/>
  <c r="F12" i="3"/>
  <c r="F13" i="3"/>
  <c r="F14" i="3"/>
  <c r="F15" i="3"/>
  <c r="F16" i="3"/>
  <c r="F17" i="3"/>
  <c r="F18" i="3"/>
  <c r="F22" i="3"/>
  <c r="J32" i="1" l="1"/>
  <c r="I32" i="1"/>
  <c r="T32" i="1"/>
  <c r="Q32" i="1"/>
  <c r="A8" i="3"/>
  <c r="B8" i="3"/>
  <c r="C8" i="3"/>
  <c r="D8" i="3"/>
  <c r="Q8" i="3"/>
  <c r="R8" i="3"/>
  <c r="A9" i="3"/>
  <c r="B9" i="3"/>
  <c r="C9" i="3"/>
  <c r="D9" i="3"/>
  <c r="Q9" i="3"/>
  <c r="R9" i="3"/>
  <c r="A10" i="3"/>
  <c r="B10" i="3"/>
  <c r="C10" i="3"/>
  <c r="D10" i="3"/>
  <c r="Q10" i="3"/>
  <c r="R10" i="3"/>
  <c r="A11" i="3"/>
  <c r="B11" i="3"/>
  <c r="C11" i="3"/>
  <c r="D11" i="3"/>
  <c r="Q11" i="3"/>
  <c r="R11" i="3"/>
  <c r="A12" i="3"/>
  <c r="B12" i="3"/>
  <c r="C12" i="3"/>
  <c r="D12" i="3"/>
  <c r="Q12" i="3"/>
  <c r="R12" i="3"/>
  <c r="A13" i="3"/>
  <c r="B13" i="3"/>
  <c r="N13" i="3" s="1"/>
  <c r="C13" i="3"/>
  <c r="D13" i="3"/>
  <c r="Q13" i="3"/>
  <c r="R13" i="3"/>
  <c r="A14" i="3"/>
  <c r="B14" i="3"/>
  <c r="N14" i="3" s="1"/>
  <c r="C14" i="3"/>
  <c r="D14" i="3"/>
  <c r="Q14" i="3"/>
  <c r="R14" i="3"/>
  <c r="A15" i="3"/>
  <c r="B15" i="3"/>
  <c r="N15" i="3" s="1"/>
  <c r="C15" i="3"/>
  <c r="D15" i="3"/>
  <c r="Q15" i="3"/>
  <c r="R15" i="3"/>
  <c r="A16" i="3"/>
  <c r="B16" i="3"/>
  <c r="N16" i="3" s="1"/>
  <c r="C16" i="3"/>
  <c r="D16" i="3"/>
  <c r="Q16" i="3"/>
  <c r="R16" i="3"/>
  <c r="A17" i="3"/>
  <c r="B17" i="3"/>
  <c r="N17" i="3" s="1"/>
  <c r="C17" i="3"/>
  <c r="D17" i="3"/>
  <c r="Q17" i="3"/>
  <c r="R17" i="3"/>
  <c r="A18" i="3"/>
  <c r="B18" i="3"/>
  <c r="N18" i="3" s="1"/>
  <c r="C18" i="3"/>
  <c r="D18" i="3"/>
  <c r="Q18" i="3"/>
  <c r="R18" i="3"/>
  <c r="A19" i="3"/>
  <c r="B19" i="3"/>
  <c r="N19" i="3" s="1"/>
  <c r="C19" i="3"/>
  <c r="D19" i="3"/>
  <c r="Q19" i="3"/>
  <c r="R19" i="3"/>
  <c r="A20" i="3"/>
  <c r="B20" i="3"/>
  <c r="N20" i="3" s="1"/>
  <c r="C20" i="3"/>
  <c r="D20" i="3"/>
  <c r="Q20" i="3"/>
  <c r="R20" i="3"/>
  <c r="A21" i="3"/>
  <c r="B21" i="3"/>
  <c r="N21" i="3" s="1"/>
  <c r="C21" i="3"/>
  <c r="D21" i="3"/>
  <c r="Q21" i="3"/>
  <c r="R21" i="3"/>
  <c r="B22" i="3"/>
  <c r="C22" i="3"/>
  <c r="D22" i="3"/>
  <c r="Q22" i="3"/>
  <c r="R22" i="3"/>
  <c r="A23" i="3"/>
  <c r="B23" i="3"/>
  <c r="C23" i="3"/>
  <c r="D23" i="3"/>
  <c r="Q23" i="3"/>
  <c r="R23" i="3"/>
  <c r="A24" i="3"/>
  <c r="B24" i="3"/>
  <c r="C24" i="3"/>
  <c r="D24" i="3"/>
  <c r="E24" i="3"/>
  <c r="Q24" i="3"/>
  <c r="R24" i="3"/>
  <c r="A25" i="3"/>
  <c r="B25" i="3"/>
  <c r="N25" i="3" s="1"/>
  <c r="C25" i="3"/>
  <c r="D25" i="3"/>
  <c r="E25" i="3"/>
  <c r="Q25" i="3"/>
  <c r="R25" i="3"/>
  <c r="A26" i="3"/>
  <c r="B26" i="3"/>
  <c r="N26" i="3" s="1"/>
  <c r="C26" i="3"/>
  <c r="D26" i="3"/>
  <c r="E26" i="3"/>
  <c r="Q26" i="3"/>
  <c r="R26" i="3"/>
  <c r="A27" i="3"/>
  <c r="B27" i="3"/>
  <c r="N27" i="3" s="1"/>
  <c r="C27" i="3"/>
  <c r="D27" i="3"/>
  <c r="E27" i="3"/>
  <c r="Q27" i="3"/>
  <c r="R27" i="3"/>
  <c r="A28" i="3"/>
  <c r="B28" i="3"/>
  <c r="N28" i="3" s="1"/>
  <c r="C28" i="3"/>
  <c r="D28" i="3"/>
  <c r="E28" i="3"/>
  <c r="Q28" i="3"/>
  <c r="R28" i="3"/>
  <c r="A29" i="3"/>
  <c r="B29" i="3"/>
  <c r="N29" i="3" s="1"/>
  <c r="C29" i="3"/>
  <c r="D29" i="3"/>
  <c r="E29" i="3"/>
  <c r="Q29" i="3"/>
  <c r="R29" i="3"/>
  <c r="A30" i="3"/>
  <c r="B30" i="3"/>
  <c r="N30" i="3" s="1"/>
  <c r="C30" i="3"/>
  <c r="D30" i="3"/>
  <c r="E30" i="3"/>
  <c r="Q30" i="3"/>
  <c r="R30" i="3"/>
  <c r="A31" i="3"/>
  <c r="B31" i="3"/>
  <c r="N31" i="3" s="1"/>
  <c r="C31" i="3"/>
  <c r="D31" i="3"/>
  <c r="E31" i="3"/>
  <c r="Q31" i="3"/>
  <c r="R31" i="3"/>
  <c r="A32" i="3"/>
  <c r="B32" i="3"/>
  <c r="N32" i="3" s="1"/>
  <c r="C32" i="3"/>
  <c r="D32" i="3"/>
  <c r="E32" i="3"/>
  <c r="Q32" i="3"/>
  <c r="R32" i="3"/>
  <c r="A33" i="3"/>
  <c r="B33" i="3"/>
  <c r="N33" i="3" s="1"/>
  <c r="C33" i="3"/>
  <c r="D33" i="3"/>
  <c r="E33" i="3"/>
  <c r="Q33" i="3"/>
  <c r="R33" i="3"/>
  <c r="A34" i="3"/>
  <c r="B34" i="3"/>
  <c r="N34" i="3" s="1"/>
  <c r="C34" i="3"/>
  <c r="D34" i="3"/>
  <c r="E34" i="3"/>
  <c r="Q34" i="3"/>
  <c r="R34" i="3"/>
  <c r="R32" i="1" l="1"/>
  <c r="U32" i="1"/>
  <c r="V32" i="1" l="1"/>
  <c r="S32" i="1"/>
  <c r="AO531" i="2"/>
  <c r="AO530" i="2"/>
  <c r="AO529" i="2"/>
  <c r="AO528" i="2"/>
  <c r="AO527" i="2"/>
  <c r="AO526" i="2"/>
  <c r="AO525" i="2"/>
  <c r="AO524" i="2"/>
  <c r="AO523" i="2"/>
  <c r="AO522" i="2"/>
  <c r="AO521" i="2"/>
  <c r="AO520" i="2"/>
  <c r="AO519" i="2"/>
  <c r="AO518" i="2"/>
  <c r="AO517" i="2"/>
  <c r="AO516" i="2"/>
  <c r="AO515" i="2"/>
  <c r="AO514" i="2"/>
  <c r="AO513" i="2"/>
  <c r="AO512" i="2"/>
  <c r="AO511" i="2"/>
  <c r="AO510" i="2"/>
  <c r="AO509" i="2"/>
  <c r="AO508" i="2"/>
  <c r="AO507" i="2"/>
  <c r="AO506" i="2"/>
  <c r="AO505" i="2"/>
  <c r="AO504" i="2"/>
  <c r="AO503" i="2"/>
  <c r="AO502" i="2"/>
  <c r="AO501" i="2"/>
  <c r="AO500" i="2"/>
  <c r="AO499" i="2"/>
  <c r="AO498" i="2"/>
  <c r="AO497" i="2"/>
  <c r="AO496" i="2"/>
  <c r="AO495" i="2"/>
  <c r="AO494" i="2"/>
  <c r="AO493" i="2"/>
  <c r="AO492" i="2"/>
  <c r="AO491" i="2"/>
  <c r="AO490" i="2"/>
  <c r="AO489" i="2"/>
  <c r="AO488" i="2"/>
  <c r="AO487" i="2"/>
  <c r="AO486" i="2"/>
  <c r="AO485" i="2"/>
  <c r="AO484" i="2"/>
  <c r="AO483" i="2"/>
  <c r="AO482" i="2"/>
  <c r="AO481" i="2"/>
  <c r="AO480" i="2"/>
  <c r="AO479" i="2"/>
  <c r="AO478" i="2"/>
  <c r="AO477" i="2"/>
  <c r="AO476" i="2"/>
  <c r="AO475" i="2"/>
  <c r="AO474" i="2"/>
  <c r="AO473" i="2"/>
  <c r="AO472" i="2"/>
  <c r="AO471" i="2"/>
  <c r="AO470" i="2"/>
  <c r="AO469" i="2"/>
  <c r="AO468" i="2"/>
  <c r="AO467" i="2"/>
  <c r="AO466" i="2"/>
  <c r="AO465" i="2"/>
  <c r="AO464" i="2"/>
  <c r="AO463" i="2"/>
  <c r="AO462" i="2"/>
  <c r="AO461" i="2"/>
  <c r="AO460" i="2"/>
  <c r="AO459" i="2"/>
  <c r="AO458" i="2"/>
  <c r="AO457" i="2"/>
  <c r="AO456" i="2"/>
  <c r="AO455" i="2"/>
  <c r="AO454" i="2"/>
  <c r="AO453" i="2"/>
  <c r="AO452" i="2"/>
  <c r="AO451" i="2"/>
  <c r="AO450" i="2"/>
  <c r="AO449" i="2"/>
  <c r="AO448" i="2"/>
  <c r="AO447" i="2"/>
  <c r="AO446" i="2"/>
  <c r="AO445" i="2"/>
  <c r="AO444" i="2"/>
  <c r="AO443" i="2"/>
  <c r="AO442" i="2"/>
  <c r="AO441" i="2"/>
  <c r="AO440" i="2"/>
  <c r="AO439" i="2"/>
  <c r="AO438" i="2"/>
  <c r="AO437" i="2"/>
  <c r="AO436" i="2"/>
  <c r="AO435" i="2"/>
  <c r="AO434" i="2"/>
  <c r="AO433" i="2"/>
  <c r="AO432" i="2"/>
  <c r="AO431" i="2"/>
  <c r="AO430" i="2"/>
  <c r="AO429" i="2"/>
  <c r="AO428" i="2"/>
  <c r="AO427" i="2"/>
  <c r="AO426" i="2"/>
  <c r="AO425" i="2"/>
  <c r="AO424" i="2"/>
  <c r="AO423" i="2"/>
  <c r="AO422" i="2"/>
  <c r="AO421" i="2"/>
  <c r="AO420" i="2"/>
  <c r="AO419" i="2"/>
  <c r="AO418" i="2"/>
  <c r="AO417" i="2"/>
  <c r="AO416" i="2"/>
  <c r="AO415" i="2"/>
  <c r="AO414" i="2"/>
  <c r="AO413" i="2"/>
  <c r="AO412" i="2"/>
  <c r="AO411" i="2"/>
  <c r="AO410" i="2"/>
  <c r="AO409" i="2"/>
  <c r="AO408" i="2"/>
  <c r="AO407" i="2"/>
  <c r="AO406" i="2"/>
  <c r="AO405" i="2"/>
  <c r="AO404" i="2"/>
  <c r="AO403" i="2"/>
  <c r="AO402" i="2"/>
  <c r="AO401" i="2"/>
  <c r="AO400" i="2"/>
  <c r="AO399" i="2"/>
  <c r="AO398" i="2"/>
  <c r="AO397" i="2"/>
  <c r="AO396" i="2"/>
  <c r="AO395" i="2"/>
  <c r="AO394" i="2"/>
  <c r="AO393" i="2"/>
  <c r="AO392" i="2"/>
  <c r="AO391" i="2"/>
  <c r="AO390" i="2"/>
  <c r="AO389" i="2"/>
  <c r="AO388" i="2"/>
  <c r="AO387" i="2"/>
  <c r="AO386" i="2"/>
  <c r="AO385" i="2"/>
  <c r="AO384" i="2"/>
  <c r="AO383" i="2"/>
  <c r="AO382" i="2"/>
  <c r="AO381" i="2"/>
  <c r="AO380" i="2"/>
  <c r="AO379" i="2"/>
  <c r="AO378" i="2"/>
  <c r="AO377" i="2"/>
  <c r="AO376" i="2"/>
  <c r="AO375" i="2"/>
  <c r="AO374" i="2"/>
  <c r="AO373" i="2"/>
  <c r="AO372" i="2"/>
  <c r="AO371" i="2"/>
  <c r="AO370" i="2"/>
  <c r="AO369" i="2"/>
  <c r="AO368" i="2"/>
  <c r="AO367" i="2"/>
  <c r="AO366" i="2"/>
  <c r="AO365" i="2"/>
  <c r="AO364" i="2"/>
  <c r="AO363" i="2"/>
  <c r="AO362" i="2"/>
  <c r="AO361" i="2"/>
  <c r="AO360" i="2"/>
  <c r="AO359" i="2"/>
  <c r="AO358" i="2"/>
  <c r="AO357" i="2"/>
  <c r="AO356" i="2"/>
  <c r="AO355" i="2"/>
  <c r="AO354" i="2"/>
  <c r="AO353" i="2"/>
  <c r="AO352" i="2"/>
  <c r="AO351" i="2"/>
  <c r="AO350" i="2"/>
  <c r="AO349" i="2"/>
  <c r="AO348" i="2"/>
  <c r="AO347" i="2"/>
  <c r="AO346" i="2"/>
  <c r="AO345" i="2"/>
  <c r="AO344" i="2"/>
  <c r="AO343" i="2"/>
  <c r="AO342" i="2"/>
  <c r="AO341" i="2"/>
  <c r="AO340" i="2"/>
  <c r="AO339" i="2"/>
  <c r="AO338" i="2"/>
  <c r="AO337" i="2"/>
  <c r="AO336" i="2"/>
  <c r="AO335" i="2"/>
  <c r="AO334" i="2"/>
  <c r="AO333" i="2"/>
  <c r="AO332" i="2"/>
  <c r="AO331" i="2"/>
  <c r="AO330" i="2"/>
  <c r="AO329" i="2"/>
  <c r="AO328" i="2"/>
  <c r="AO327" i="2"/>
  <c r="AO326" i="2"/>
  <c r="AO325" i="2"/>
  <c r="AO324" i="2"/>
  <c r="AO323" i="2"/>
  <c r="AO322" i="2"/>
  <c r="AO321" i="2"/>
  <c r="AO320" i="2"/>
  <c r="AO319" i="2"/>
  <c r="AO318" i="2"/>
  <c r="AO317" i="2"/>
  <c r="AO316" i="2"/>
  <c r="AO315" i="2"/>
  <c r="AO314" i="2"/>
  <c r="AO313" i="2"/>
  <c r="AO312" i="2"/>
  <c r="AO311" i="2"/>
  <c r="AO310" i="2"/>
  <c r="AO309" i="2"/>
  <c r="AO308" i="2"/>
  <c r="AO307" i="2"/>
  <c r="AO306" i="2"/>
  <c r="AO305" i="2"/>
  <c r="AO304" i="2"/>
  <c r="AO303" i="2"/>
  <c r="AO302" i="2"/>
  <c r="AO301" i="2"/>
  <c r="AO300" i="2"/>
  <c r="AO299" i="2"/>
  <c r="AO298" i="2"/>
  <c r="AO297" i="2"/>
  <c r="AO296" i="2"/>
  <c r="AO295" i="2"/>
  <c r="AO294" i="2"/>
  <c r="AO293" i="2"/>
  <c r="AO292" i="2"/>
  <c r="AO291" i="2"/>
  <c r="AO290" i="2"/>
  <c r="AO289" i="2"/>
  <c r="AO288" i="2"/>
  <c r="AO287" i="2"/>
  <c r="AO286" i="2"/>
  <c r="AO285" i="2"/>
  <c r="AO284" i="2"/>
  <c r="AO283" i="2"/>
  <c r="AO282" i="2"/>
  <c r="AO281" i="2"/>
  <c r="AO280" i="2"/>
  <c r="AO279" i="2"/>
  <c r="AO278" i="2"/>
  <c r="AO277" i="2"/>
  <c r="AO276" i="2"/>
  <c r="AO275" i="2"/>
  <c r="AO274" i="2"/>
  <c r="AO273" i="2"/>
  <c r="AO272" i="2"/>
  <c r="AJ526" i="2"/>
  <c r="AJ525" i="2"/>
  <c r="AJ524" i="2"/>
  <c r="AJ523" i="2"/>
  <c r="AJ522" i="2"/>
  <c r="AJ521" i="2"/>
  <c r="AJ520" i="2"/>
  <c r="AJ519" i="2"/>
  <c r="AJ518" i="2"/>
  <c r="AJ517" i="2"/>
  <c r="AJ516" i="2"/>
  <c r="AJ515" i="2"/>
  <c r="AJ514" i="2"/>
  <c r="AJ513" i="2"/>
  <c r="AJ512" i="2"/>
  <c r="AJ511" i="2"/>
  <c r="AJ510" i="2"/>
  <c r="AJ509" i="2"/>
  <c r="AJ508" i="2"/>
  <c r="AJ507" i="2"/>
  <c r="AJ506" i="2"/>
  <c r="AJ505" i="2"/>
  <c r="AJ504" i="2"/>
  <c r="AJ503" i="2"/>
  <c r="AJ502" i="2"/>
  <c r="AJ501" i="2"/>
  <c r="AJ500" i="2"/>
  <c r="AJ499" i="2"/>
  <c r="AJ498" i="2"/>
  <c r="AJ497" i="2"/>
  <c r="AJ496" i="2"/>
  <c r="AJ495" i="2"/>
  <c r="AJ494" i="2"/>
  <c r="AJ493" i="2"/>
  <c r="AJ492" i="2"/>
  <c r="AJ491" i="2"/>
  <c r="AJ490" i="2"/>
  <c r="AJ489" i="2"/>
  <c r="AJ488" i="2"/>
  <c r="AJ487" i="2"/>
  <c r="AJ486" i="2"/>
  <c r="AJ485" i="2"/>
  <c r="AJ484" i="2"/>
  <c r="AJ483" i="2"/>
  <c r="AJ482" i="2"/>
  <c r="AJ481" i="2"/>
  <c r="AJ480" i="2"/>
  <c r="AJ479" i="2"/>
  <c r="AJ478" i="2"/>
  <c r="AJ477" i="2"/>
  <c r="AJ476" i="2"/>
  <c r="AJ475" i="2"/>
  <c r="AJ474" i="2"/>
  <c r="AJ473" i="2"/>
  <c r="AJ472" i="2"/>
  <c r="AJ471" i="2"/>
  <c r="AJ470" i="2"/>
  <c r="AJ469" i="2"/>
  <c r="AJ468" i="2"/>
  <c r="AJ467" i="2"/>
  <c r="AJ466" i="2"/>
  <c r="AJ465" i="2"/>
  <c r="AJ464" i="2"/>
  <c r="AJ463" i="2"/>
  <c r="AJ462" i="2"/>
  <c r="AJ461" i="2"/>
  <c r="AJ460" i="2"/>
  <c r="AJ459" i="2"/>
  <c r="AJ458" i="2"/>
  <c r="AJ457" i="2"/>
  <c r="AJ456" i="2"/>
  <c r="AJ455" i="2"/>
  <c r="AJ454" i="2"/>
  <c r="AJ453" i="2"/>
  <c r="AJ452" i="2"/>
  <c r="AJ451" i="2"/>
  <c r="AJ450" i="2"/>
  <c r="AJ449" i="2"/>
  <c r="AJ448" i="2"/>
  <c r="AJ447" i="2"/>
  <c r="AJ446" i="2"/>
  <c r="AJ445" i="2"/>
  <c r="AJ444" i="2"/>
  <c r="AJ443" i="2"/>
  <c r="AJ442" i="2"/>
  <c r="AJ441" i="2"/>
  <c r="AJ440" i="2"/>
  <c r="AJ439" i="2"/>
  <c r="AJ438" i="2"/>
  <c r="AJ437" i="2"/>
  <c r="AJ436" i="2"/>
  <c r="AJ435" i="2"/>
  <c r="AJ434" i="2"/>
  <c r="AJ433" i="2"/>
  <c r="AJ432" i="2"/>
  <c r="AJ431" i="2"/>
  <c r="AJ430" i="2"/>
  <c r="AJ429" i="2"/>
  <c r="AJ428" i="2"/>
  <c r="AJ427" i="2"/>
  <c r="AJ426" i="2"/>
  <c r="AJ425" i="2"/>
  <c r="AJ424" i="2"/>
  <c r="AJ423" i="2"/>
  <c r="AJ422" i="2"/>
  <c r="AJ421" i="2"/>
  <c r="AJ420" i="2"/>
  <c r="AJ419" i="2"/>
  <c r="AJ418" i="2"/>
  <c r="AJ417" i="2"/>
  <c r="AJ416" i="2"/>
  <c r="AJ415" i="2"/>
  <c r="AJ414" i="2"/>
  <c r="AJ413" i="2"/>
  <c r="AJ412" i="2"/>
  <c r="AJ411" i="2"/>
  <c r="AJ410" i="2"/>
  <c r="AJ409" i="2"/>
  <c r="AJ408" i="2"/>
  <c r="AJ407" i="2"/>
  <c r="AJ406" i="2"/>
  <c r="AJ405" i="2"/>
  <c r="AJ404" i="2"/>
  <c r="AJ403" i="2"/>
  <c r="AJ402" i="2"/>
  <c r="AJ401" i="2"/>
  <c r="AJ400" i="2"/>
  <c r="AJ399" i="2"/>
  <c r="AJ398" i="2"/>
  <c r="AJ397" i="2"/>
  <c r="AJ396" i="2"/>
  <c r="AJ395" i="2"/>
  <c r="AJ394" i="2"/>
  <c r="AJ393" i="2"/>
  <c r="AJ392" i="2"/>
  <c r="AJ391" i="2"/>
  <c r="AJ390" i="2"/>
  <c r="AJ389" i="2"/>
  <c r="AJ388" i="2"/>
  <c r="AJ387" i="2"/>
  <c r="AJ386" i="2"/>
  <c r="AJ385" i="2"/>
  <c r="AJ384" i="2"/>
  <c r="AJ383" i="2"/>
  <c r="AJ382" i="2"/>
  <c r="AJ381" i="2"/>
  <c r="AJ380" i="2"/>
  <c r="AJ379" i="2"/>
  <c r="AJ378" i="2"/>
  <c r="AJ377" i="2"/>
  <c r="AJ376" i="2"/>
  <c r="AJ375" i="2"/>
  <c r="AJ374" i="2"/>
  <c r="AJ373" i="2"/>
  <c r="AJ372" i="2"/>
  <c r="AJ371" i="2"/>
  <c r="AJ370" i="2"/>
  <c r="AJ369" i="2"/>
  <c r="AJ368" i="2"/>
  <c r="AJ367" i="2"/>
  <c r="AJ366" i="2"/>
  <c r="AJ365" i="2"/>
  <c r="AJ364" i="2"/>
  <c r="AJ363" i="2"/>
  <c r="AJ362" i="2"/>
  <c r="AJ361" i="2"/>
  <c r="AJ360" i="2"/>
  <c r="AJ359" i="2"/>
  <c r="AJ358" i="2"/>
  <c r="AJ357" i="2"/>
  <c r="AJ356" i="2"/>
  <c r="AJ355" i="2"/>
  <c r="AJ354" i="2"/>
  <c r="AJ353" i="2"/>
  <c r="AJ352" i="2"/>
  <c r="AJ351" i="2"/>
  <c r="AJ350" i="2"/>
  <c r="AJ349" i="2"/>
  <c r="AJ348" i="2"/>
  <c r="AJ347" i="2"/>
  <c r="AJ346" i="2"/>
  <c r="AJ345" i="2"/>
  <c r="AJ344" i="2"/>
  <c r="AJ343" i="2"/>
  <c r="AJ342" i="2"/>
  <c r="AJ341" i="2"/>
  <c r="AJ340" i="2"/>
  <c r="AJ339" i="2"/>
  <c r="AJ338" i="2"/>
  <c r="AJ337" i="2"/>
  <c r="AJ336" i="2"/>
  <c r="AJ335" i="2"/>
  <c r="AJ334" i="2"/>
  <c r="AJ333" i="2"/>
  <c r="AJ332" i="2"/>
  <c r="AJ331" i="2"/>
  <c r="AJ330" i="2"/>
  <c r="AJ329" i="2"/>
  <c r="AJ328" i="2"/>
  <c r="AJ327" i="2"/>
  <c r="AJ326" i="2"/>
  <c r="AJ325" i="2"/>
  <c r="AJ324" i="2"/>
  <c r="AJ323" i="2"/>
  <c r="AJ322" i="2"/>
  <c r="AJ321" i="2"/>
  <c r="AJ320" i="2"/>
  <c r="AJ319" i="2"/>
  <c r="AJ318" i="2"/>
  <c r="AJ317" i="2"/>
  <c r="AJ316" i="2"/>
  <c r="AJ315" i="2"/>
  <c r="AJ314" i="2"/>
  <c r="AJ313" i="2"/>
  <c r="AJ312" i="2"/>
  <c r="AJ311" i="2"/>
  <c r="AJ310" i="2"/>
  <c r="AJ309" i="2"/>
  <c r="AJ308" i="2"/>
  <c r="AJ307" i="2"/>
  <c r="AJ306" i="2"/>
  <c r="AJ305" i="2"/>
  <c r="AJ304" i="2"/>
  <c r="AJ303" i="2"/>
  <c r="AJ302" i="2"/>
  <c r="AJ301" i="2"/>
  <c r="AJ300" i="2"/>
  <c r="AJ299" i="2"/>
  <c r="AJ298" i="2"/>
  <c r="AJ297" i="2"/>
  <c r="AJ296" i="2"/>
  <c r="AJ295" i="2"/>
  <c r="AJ294" i="2"/>
  <c r="AJ293" i="2"/>
  <c r="AJ292" i="2"/>
  <c r="AJ291" i="2"/>
  <c r="AJ290" i="2"/>
  <c r="AJ289" i="2"/>
  <c r="AJ288" i="2"/>
  <c r="AJ287" i="2"/>
  <c r="AJ286" i="2"/>
  <c r="AJ285" i="2"/>
  <c r="AJ284" i="2"/>
  <c r="AJ283" i="2"/>
  <c r="AJ282" i="2"/>
  <c r="AJ281" i="2"/>
  <c r="AJ280" i="2"/>
  <c r="AJ279" i="2"/>
  <c r="AJ278" i="2"/>
  <c r="AJ277" i="2"/>
  <c r="AJ276" i="2"/>
  <c r="AJ275" i="2"/>
  <c r="AJ274" i="2"/>
  <c r="AJ273" i="2"/>
  <c r="AJ272" i="2"/>
  <c r="AE500" i="2"/>
  <c r="AE499" i="2"/>
  <c r="AE498" i="2"/>
  <c r="AE497" i="2"/>
  <c r="AE496" i="2"/>
  <c r="AE495" i="2"/>
  <c r="AE494" i="2"/>
  <c r="AE493" i="2"/>
  <c r="AE492" i="2"/>
  <c r="AE491" i="2"/>
  <c r="AE490" i="2"/>
  <c r="AE489" i="2"/>
  <c r="AE488" i="2"/>
  <c r="AE487" i="2"/>
  <c r="AE486" i="2"/>
  <c r="AE485" i="2"/>
  <c r="AE484" i="2"/>
  <c r="AE483" i="2"/>
  <c r="AE482" i="2"/>
  <c r="AE481" i="2"/>
  <c r="AE480" i="2"/>
  <c r="AE479" i="2"/>
  <c r="AE478" i="2"/>
  <c r="AE477" i="2"/>
  <c r="AE476" i="2"/>
  <c r="AE475" i="2"/>
  <c r="AE474" i="2"/>
  <c r="AE473" i="2"/>
  <c r="AE472" i="2"/>
  <c r="AE471" i="2"/>
  <c r="AE470" i="2"/>
  <c r="AE469" i="2"/>
  <c r="AE468" i="2"/>
  <c r="AE467" i="2"/>
  <c r="AE466" i="2"/>
  <c r="AE465" i="2"/>
  <c r="AE464" i="2"/>
  <c r="AE463" i="2"/>
  <c r="AE462" i="2"/>
  <c r="AE461" i="2"/>
  <c r="AE460" i="2"/>
  <c r="AE459" i="2"/>
  <c r="AE458" i="2"/>
  <c r="AE457" i="2"/>
  <c r="AE456" i="2"/>
  <c r="AE455" i="2"/>
  <c r="AE454" i="2"/>
  <c r="AE453" i="2"/>
  <c r="AE452" i="2"/>
  <c r="AE451" i="2"/>
  <c r="AE450" i="2"/>
  <c r="AE449" i="2"/>
  <c r="AE448" i="2"/>
  <c r="AE447" i="2"/>
  <c r="AE446" i="2"/>
  <c r="AE445" i="2"/>
  <c r="AE444" i="2"/>
  <c r="AE443" i="2"/>
  <c r="AE442" i="2"/>
  <c r="AE441" i="2"/>
  <c r="AE440" i="2"/>
  <c r="AE439" i="2"/>
  <c r="AE438" i="2"/>
  <c r="AE437" i="2"/>
  <c r="AE436" i="2"/>
  <c r="AE435" i="2"/>
  <c r="AE434" i="2"/>
  <c r="AE433" i="2"/>
  <c r="AE432" i="2"/>
  <c r="AE431" i="2"/>
  <c r="AE430" i="2"/>
  <c r="AE429" i="2"/>
  <c r="AE428" i="2"/>
  <c r="AE427" i="2"/>
  <c r="AE426" i="2"/>
  <c r="AE425" i="2"/>
  <c r="AE424" i="2"/>
  <c r="AE423" i="2"/>
  <c r="AE422" i="2"/>
  <c r="AE421" i="2"/>
  <c r="AE420" i="2"/>
  <c r="AE419" i="2"/>
  <c r="AE418" i="2"/>
  <c r="AE417" i="2"/>
  <c r="AE416" i="2"/>
  <c r="AE415" i="2"/>
  <c r="AE414" i="2"/>
  <c r="AE413" i="2"/>
  <c r="AE412" i="2"/>
  <c r="AE411" i="2"/>
  <c r="AE410" i="2"/>
  <c r="AE409" i="2"/>
  <c r="AE408" i="2"/>
  <c r="AE407" i="2"/>
  <c r="AE406" i="2"/>
  <c r="AE405" i="2"/>
  <c r="AE404" i="2"/>
  <c r="AE403" i="2"/>
  <c r="AE402" i="2"/>
  <c r="AE401" i="2"/>
  <c r="AE400" i="2"/>
  <c r="AE399" i="2"/>
  <c r="AE398" i="2"/>
  <c r="AE397" i="2"/>
  <c r="AE396" i="2"/>
  <c r="AE395" i="2"/>
  <c r="AE394" i="2"/>
  <c r="AE393" i="2"/>
  <c r="AE392" i="2"/>
  <c r="AE391" i="2"/>
  <c r="AE390" i="2"/>
  <c r="AE389" i="2"/>
  <c r="AE388" i="2"/>
  <c r="AE387" i="2"/>
  <c r="AE386" i="2"/>
  <c r="AE385" i="2"/>
  <c r="AE384" i="2"/>
  <c r="AE383" i="2"/>
  <c r="AE382" i="2"/>
  <c r="AE381" i="2"/>
  <c r="AE380" i="2"/>
  <c r="AE379" i="2"/>
  <c r="AE378" i="2"/>
  <c r="AE377" i="2"/>
  <c r="AE376" i="2"/>
  <c r="AE375" i="2"/>
  <c r="AE374" i="2"/>
  <c r="AE373" i="2"/>
  <c r="AE372" i="2"/>
  <c r="AE371" i="2"/>
  <c r="AE370" i="2"/>
  <c r="AE369" i="2"/>
  <c r="AE368" i="2"/>
  <c r="AE367" i="2"/>
  <c r="AE366" i="2"/>
  <c r="AE365" i="2"/>
  <c r="AE364" i="2"/>
  <c r="AE363" i="2"/>
  <c r="AE362" i="2"/>
  <c r="AE361" i="2"/>
  <c r="AE360" i="2"/>
  <c r="AE359" i="2"/>
  <c r="AE358" i="2"/>
  <c r="AE357" i="2"/>
  <c r="AE356" i="2"/>
  <c r="AE355" i="2"/>
  <c r="AE354" i="2"/>
  <c r="AE353" i="2"/>
  <c r="AE352" i="2"/>
  <c r="AE351" i="2"/>
  <c r="AE350" i="2"/>
  <c r="AE349" i="2"/>
  <c r="AE348" i="2"/>
  <c r="AE347" i="2"/>
  <c r="AE346" i="2"/>
  <c r="AE345" i="2"/>
  <c r="AE344" i="2"/>
  <c r="AE343" i="2"/>
  <c r="AE342" i="2"/>
  <c r="AE341" i="2"/>
  <c r="AE340" i="2"/>
  <c r="AE339" i="2"/>
  <c r="AE338" i="2"/>
  <c r="AE337" i="2"/>
  <c r="AE336" i="2"/>
  <c r="AE335" i="2"/>
  <c r="AE334" i="2"/>
  <c r="AE333" i="2"/>
  <c r="AE332" i="2"/>
  <c r="AE331" i="2"/>
  <c r="AE330" i="2"/>
  <c r="AE329" i="2"/>
  <c r="AE328" i="2"/>
  <c r="AE327" i="2"/>
  <c r="AE326" i="2"/>
  <c r="AE325" i="2"/>
  <c r="AE324" i="2"/>
  <c r="AE323" i="2"/>
  <c r="AE322" i="2"/>
  <c r="AE321" i="2"/>
  <c r="AE320" i="2"/>
  <c r="AE319" i="2"/>
  <c r="AE318" i="2"/>
  <c r="AE317" i="2"/>
  <c r="AE316" i="2"/>
  <c r="AE315" i="2"/>
  <c r="AE314" i="2"/>
  <c r="AE313" i="2"/>
  <c r="AE312" i="2"/>
  <c r="AE311" i="2"/>
  <c r="AE310" i="2"/>
  <c r="AE309" i="2"/>
  <c r="AE308" i="2"/>
  <c r="AE307" i="2"/>
  <c r="AE306" i="2"/>
  <c r="AE305" i="2"/>
  <c r="AE304" i="2"/>
  <c r="AE303" i="2"/>
  <c r="AE302" i="2"/>
  <c r="AE301" i="2"/>
  <c r="AE300" i="2"/>
  <c r="AE299" i="2"/>
  <c r="AE298" i="2"/>
  <c r="AE297" i="2"/>
  <c r="AE296" i="2"/>
  <c r="AE295" i="2"/>
  <c r="AE294" i="2"/>
  <c r="AE293" i="2"/>
  <c r="AE292" i="2"/>
  <c r="AE291" i="2"/>
  <c r="AE290" i="2"/>
  <c r="AE289" i="2"/>
  <c r="AE288" i="2"/>
  <c r="AE287" i="2"/>
  <c r="AE286" i="2"/>
  <c r="AE285" i="2"/>
  <c r="AE284" i="2"/>
  <c r="AE283" i="2"/>
  <c r="AE282" i="2"/>
  <c r="AE281" i="2"/>
  <c r="AE280" i="2"/>
  <c r="AE279" i="2"/>
  <c r="AE278" i="2"/>
  <c r="AE277" i="2"/>
  <c r="AE276" i="2"/>
  <c r="AE275" i="2"/>
  <c r="AE274" i="2"/>
  <c r="AE273" i="2"/>
  <c r="AE272" i="2"/>
  <c r="Z462" i="2"/>
  <c r="Z461" i="2"/>
  <c r="Z460" i="2"/>
  <c r="Z459" i="2"/>
  <c r="Z458" i="2"/>
  <c r="Z457" i="2"/>
  <c r="Z456" i="2"/>
  <c r="Z455" i="2"/>
  <c r="Z454" i="2"/>
  <c r="Z453" i="2"/>
  <c r="Z452" i="2"/>
  <c r="Z451" i="2"/>
  <c r="Z450" i="2"/>
  <c r="Z449" i="2"/>
  <c r="Z448" i="2"/>
  <c r="Z447" i="2"/>
  <c r="Z446" i="2"/>
  <c r="Z445" i="2"/>
  <c r="Z444" i="2"/>
  <c r="Z443" i="2"/>
  <c r="Z442" i="2"/>
  <c r="Z441" i="2"/>
  <c r="Z440" i="2"/>
  <c r="Z439" i="2"/>
  <c r="Z438" i="2"/>
  <c r="Z437" i="2"/>
  <c r="Z436" i="2"/>
  <c r="Z435" i="2"/>
  <c r="Z434" i="2"/>
  <c r="Z433" i="2"/>
  <c r="Z432" i="2"/>
  <c r="Z431" i="2"/>
  <c r="Z430" i="2"/>
  <c r="Z429" i="2"/>
  <c r="Z428" i="2"/>
  <c r="Z427" i="2"/>
  <c r="Z426" i="2"/>
  <c r="Z425" i="2"/>
  <c r="Z424" i="2"/>
  <c r="Z423" i="2"/>
  <c r="Z422" i="2"/>
  <c r="Z421" i="2"/>
  <c r="Z420" i="2"/>
  <c r="Z419" i="2"/>
  <c r="Z418" i="2"/>
  <c r="Z417" i="2"/>
  <c r="Z416" i="2"/>
  <c r="Z415" i="2"/>
  <c r="Z414" i="2"/>
  <c r="Z413" i="2"/>
  <c r="Z412" i="2"/>
  <c r="Z411" i="2"/>
  <c r="Z410" i="2"/>
  <c r="Z409" i="2"/>
  <c r="Z408" i="2"/>
  <c r="Z407" i="2"/>
  <c r="Z406" i="2"/>
  <c r="Z405" i="2"/>
  <c r="Z404" i="2"/>
  <c r="Z403" i="2"/>
  <c r="Z402" i="2"/>
  <c r="Z401" i="2"/>
  <c r="Z400" i="2"/>
  <c r="Z399" i="2"/>
  <c r="Z398" i="2"/>
  <c r="Z397" i="2"/>
  <c r="Z396" i="2"/>
  <c r="Z395" i="2"/>
  <c r="Z394" i="2"/>
  <c r="Z393" i="2"/>
  <c r="Z392" i="2"/>
  <c r="Z391" i="2"/>
  <c r="Z390" i="2"/>
  <c r="Z389" i="2"/>
  <c r="Z388" i="2"/>
  <c r="Z387" i="2"/>
  <c r="Z386" i="2"/>
  <c r="Z385" i="2"/>
  <c r="Z384" i="2"/>
  <c r="Z383" i="2"/>
  <c r="Z382" i="2"/>
  <c r="Z381" i="2"/>
  <c r="Z380" i="2"/>
  <c r="Z379" i="2"/>
  <c r="Z378" i="2"/>
  <c r="Z377" i="2"/>
  <c r="Z376" i="2"/>
  <c r="Z375" i="2"/>
  <c r="Z374" i="2"/>
  <c r="Z373" i="2"/>
  <c r="Z372" i="2"/>
  <c r="Z371" i="2"/>
  <c r="Z370" i="2"/>
  <c r="Z369" i="2"/>
  <c r="Z368" i="2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P357" i="2"/>
  <c r="P356" i="2"/>
  <c r="P355" i="2"/>
  <c r="P354" i="2"/>
  <c r="P353" i="2"/>
  <c r="P352" i="2"/>
  <c r="P351" i="2"/>
  <c r="P350" i="2"/>
  <c r="P349" i="2"/>
  <c r="P348" i="2"/>
  <c r="P347" i="2"/>
  <c r="P346" i="2"/>
  <c r="P345" i="2"/>
  <c r="P344" i="2"/>
  <c r="P343" i="2"/>
  <c r="P342" i="2"/>
  <c r="P341" i="2"/>
  <c r="P340" i="2"/>
  <c r="P339" i="2"/>
  <c r="P338" i="2"/>
  <c r="P337" i="2"/>
  <c r="P336" i="2"/>
  <c r="P335" i="2"/>
  <c r="P334" i="2"/>
  <c r="P333" i="2"/>
  <c r="P332" i="2"/>
  <c r="P331" i="2"/>
  <c r="P330" i="2"/>
  <c r="P329" i="2"/>
  <c r="P328" i="2"/>
  <c r="P327" i="2"/>
  <c r="P326" i="2"/>
  <c r="P325" i="2"/>
  <c r="P324" i="2"/>
  <c r="P323" i="2"/>
  <c r="P322" i="2"/>
  <c r="P321" i="2"/>
  <c r="P320" i="2"/>
  <c r="P319" i="2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AZ20" i="1" l="1"/>
  <c r="BA20" i="1" s="1"/>
  <c r="X32" i="1"/>
  <c r="R120" i="3"/>
  <c r="Q120" i="3"/>
  <c r="E120" i="3"/>
  <c r="D120" i="3"/>
  <c r="C120" i="3"/>
  <c r="B120" i="3"/>
  <c r="N120" i="3" s="1"/>
  <c r="A120" i="3"/>
  <c r="R119" i="3"/>
  <c r="Q119" i="3"/>
  <c r="E119" i="3"/>
  <c r="D119" i="3"/>
  <c r="C119" i="3"/>
  <c r="B119" i="3"/>
  <c r="N119" i="3" s="1"/>
  <c r="A119" i="3"/>
  <c r="R118" i="3"/>
  <c r="Q118" i="3"/>
  <c r="E118" i="3"/>
  <c r="D118" i="3"/>
  <c r="C118" i="3"/>
  <c r="B118" i="3"/>
  <c r="N118" i="3" s="1"/>
  <c r="A118" i="3"/>
  <c r="R117" i="3"/>
  <c r="Q117" i="3"/>
  <c r="E117" i="3"/>
  <c r="D117" i="3"/>
  <c r="C117" i="3"/>
  <c r="B117" i="3"/>
  <c r="N117" i="3" s="1"/>
  <c r="A117" i="3"/>
  <c r="R116" i="3"/>
  <c r="Q116" i="3"/>
  <c r="E116" i="3"/>
  <c r="D116" i="3"/>
  <c r="C116" i="3"/>
  <c r="B116" i="3"/>
  <c r="N116" i="3" s="1"/>
  <c r="A116" i="3"/>
  <c r="R115" i="3"/>
  <c r="Q115" i="3"/>
  <c r="E115" i="3"/>
  <c r="D115" i="3"/>
  <c r="C115" i="3"/>
  <c r="B115" i="3"/>
  <c r="N115" i="3" s="1"/>
  <c r="A115" i="3"/>
  <c r="R114" i="3"/>
  <c r="Q114" i="3"/>
  <c r="E114" i="3"/>
  <c r="D114" i="3"/>
  <c r="C114" i="3"/>
  <c r="B114" i="3"/>
  <c r="N114" i="3" s="1"/>
  <c r="A114" i="3"/>
  <c r="R113" i="3"/>
  <c r="Q113" i="3"/>
  <c r="E113" i="3"/>
  <c r="D113" i="3"/>
  <c r="C113" i="3"/>
  <c r="B113" i="3"/>
  <c r="N113" i="3" s="1"/>
  <c r="A113" i="3"/>
  <c r="R112" i="3"/>
  <c r="Q112" i="3"/>
  <c r="E112" i="3"/>
  <c r="D112" i="3"/>
  <c r="C112" i="3"/>
  <c r="B112" i="3"/>
  <c r="N112" i="3" s="1"/>
  <c r="A112" i="3"/>
  <c r="R111" i="3"/>
  <c r="Q111" i="3"/>
  <c r="E111" i="3"/>
  <c r="D111" i="3"/>
  <c r="C111" i="3"/>
  <c r="B111" i="3"/>
  <c r="N111" i="3" s="1"/>
  <c r="A111" i="3"/>
  <c r="R110" i="3"/>
  <c r="Q110" i="3"/>
  <c r="E110" i="3"/>
  <c r="D110" i="3"/>
  <c r="C110" i="3"/>
  <c r="B110" i="3"/>
  <c r="N110" i="3" s="1"/>
  <c r="A110" i="3"/>
  <c r="R109" i="3"/>
  <c r="Q109" i="3"/>
  <c r="E109" i="3"/>
  <c r="D109" i="3"/>
  <c r="C109" i="3"/>
  <c r="B109" i="3"/>
  <c r="N109" i="3" s="1"/>
  <c r="A109" i="3"/>
  <c r="R108" i="3"/>
  <c r="Q108" i="3"/>
  <c r="E108" i="3"/>
  <c r="D108" i="3"/>
  <c r="C108" i="3"/>
  <c r="B108" i="3"/>
  <c r="N108" i="3" s="1"/>
  <c r="A108" i="3"/>
  <c r="R107" i="3"/>
  <c r="Q107" i="3"/>
  <c r="E107" i="3"/>
  <c r="D107" i="3"/>
  <c r="C107" i="3"/>
  <c r="B107" i="3"/>
  <c r="N107" i="3" s="1"/>
  <c r="A107" i="3"/>
  <c r="R106" i="3"/>
  <c r="Q106" i="3"/>
  <c r="E106" i="3"/>
  <c r="D106" i="3"/>
  <c r="C106" i="3"/>
  <c r="B106" i="3"/>
  <c r="N106" i="3" s="1"/>
  <c r="A106" i="3"/>
  <c r="R105" i="3"/>
  <c r="Q105" i="3"/>
  <c r="E105" i="3"/>
  <c r="D105" i="3"/>
  <c r="C105" i="3"/>
  <c r="B105" i="3"/>
  <c r="N105" i="3" s="1"/>
  <c r="A105" i="3"/>
  <c r="R104" i="3"/>
  <c r="Q104" i="3"/>
  <c r="E104" i="3"/>
  <c r="D104" i="3"/>
  <c r="C104" i="3"/>
  <c r="B104" i="3"/>
  <c r="N104" i="3" s="1"/>
  <c r="A104" i="3"/>
  <c r="R103" i="3"/>
  <c r="Q103" i="3"/>
  <c r="E103" i="3"/>
  <c r="D103" i="3"/>
  <c r="C103" i="3"/>
  <c r="B103" i="3"/>
  <c r="N103" i="3" s="1"/>
  <c r="A103" i="3"/>
  <c r="R102" i="3"/>
  <c r="Q102" i="3"/>
  <c r="E102" i="3"/>
  <c r="D102" i="3"/>
  <c r="C102" i="3"/>
  <c r="B102" i="3"/>
  <c r="N102" i="3" s="1"/>
  <c r="A102" i="3"/>
  <c r="R101" i="3"/>
  <c r="Q101" i="3"/>
  <c r="E101" i="3"/>
  <c r="D101" i="3"/>
  <c r="C101" i="3"/>
  <c r="B101" i="3"/>
  <c r="N101" i="3" s="1"/>
  <c r="A101" i="3"/>
  <c r="R100" i="3"/>
  <c r="Q100" i="3"/>
  <c r="E100" i="3"/>
  <c r="D100" i="3"/>
  <c r="C100" i="3"/>
  <c r="B100" i="3"/>
  <c r="N100" i="3" s="1"/>
  <c r="A100" i="3"/>
  <c r="R99" i="3"/>
  <c r="Q99" i="3"/>
  <c r="E99" i="3"/>
  <c r="D99" i="3"/>
  <c r="C99" i="3"/>
  <c r="B99" i="3"/>
  <c r="N99" i="3" s="1"/>
  <c r="A99" i="3"/>
  <c r="R98" i="3"/>
  <c r="Q98" i="3"/>
  <c r="E98" i="3"/>
  <c r="D98" i="3"/>
  <c r="C98" i="3"/>
  <c r="B98" i="3"/>
  <c r="N98" i="3" s="1"/>
  <c r="A98" i="3"/>
  <c r="R97" i="3"/>
  <c r="Q97" i="3"/>
  <c r="E97" i="3"/>
  <c r="D97" i="3"/>
  <c r="C97" i="3"/>
  <c r="B97" i="3"/>
  <c r="N97" i="3" s="1"/>
  <c r="A97" i="3"/>
  <c r="R96" i="3"/>
  <c r="Q96" i="3"/>
  <c r="E96" i="3"/>
  <c r="D96" i="3"/>
  <c r="C96" i="3"/>
  <c r="B96" i="3"/>
  <c r="N96" i="3" s="1"/>
  <c r="A96" i="3"/>
  <c r="R95" i="3"/>
  <c r="Q95" i="3"/>
  <c r="E95" i="3"/>
  <c r="D95" i="3"/>
  <c r="C95" i="3"/>
  <c r="B95" i="3"/>
  <c r="N95" i="3" s="1"/>
  <c r="A95" i="3"/>
  <c r="R94" i="3"/>
  <c r="Q94" i="3"/>
  <c r="E94" i="3"/>
  <c r="D94" i="3"/>
  <c r="C94" i="3"/>
  <c r="B94" i="3"/>
  <c r="N94" i="3" s="1"/>
  <c r="A94" i="3"/>
  <c r="R93" i="3"/>
  <c r="Q93" i="3"/>
  <c r="E93" i="3"/>
  <c r="D93" i="3"/>
  <c r="C93" i="3"/>
  <c r="B93" i="3"/>
  <c r="N93" i="3" s="1"/>
  <c r="A93" i="3"/>
  <c r="R92" i="3"/>
  <c r="Q92" i="3"/>
  <c r="E92" i="3"/>
  <c r="D92" i="3"/>
  <c r="C92" i="3"/>
  <c r="B92" i="3"/>
  <c r="N92" i="3" s="1"/>
  <c r="A92" i="3"/>
  <c r="R91" i="3"/>
  <c r="Q91" i="3"/>
  <c r="E91" i="3"/>
  <c r="D91" i="3"/>
  <c r="C91" i="3"/>
  <c r="B91" i="3"/>
  <c r="N91" i="3" s="1"/>
  <c r="A91" i="3"/>
  <c r="R90" i="3"/>
  <c r="Q90" i="3"/>
  <c r="E90" i="3"/>
  <c r="D90" i="3"/>
  <c r="C90" i="3"/>
  <c r="B90" i="3"/>
  <c r="N90" i="3" s="1"/>
  <c r="A90" i="3"/>
  <c r="R89" i="3"/>
  <c r="Q89" i="3"/>
  <c r="E89" i="3"/>
  <c r="D89" i="3"/>
  <c r="C89" i="3"/>
  <c r="B89" i="3"/>
  <c r="N89" i="3" s="1"/>
  <c r="A89" i="3"/>
  <c r="R88" i="3"/>
  <c r="Q88" i="3"/>
  <c r="E88" i="3"/>
  <c r="D88" i="3"/>
  <c r="C88" i="3"/>
  <c r="B88" i="3"/>
  <c r="N88" i="3" s="1"/>
  <c r="A88" i="3"/>
  <c r="R87" i="3"/>
  <c r="Q87" i="3"/>
  <c r="E87" i="3"/>
  <c r="D87" i="3"/>
  <c r="C87" i="3"/>
  <c r="B87" i="3"/>
  <c r="N87" i="3" s="1"/>
  <c r="A87" i="3"/>
  <c r="R86" i="3"/>
  <c r="Q86" i="3"/>
  <c r="E86" i="3"/>
  <c r="D86" i="3"/>
  <c r="C86" i="3"/>
  <c r="B86" i="3"/>
  <c r="N86" i="3" s="1"/>
  <c r="A86" i="3"/>
  <c r="R85" i="3"/>
  <c r="Q85" i="3"/>
  <c r="E85" i="3"/>
  <c r="D85" i="3"/>
  <c r="C85" i="3"/>
  <c r="B85" i="3"/>
  <c r="N85" i="3" s="1"/>
  <c r="A85" i="3"/>
  <c r="R84" i="3"/>
  <c r="Q84" i="3"/>
  <c r="E84" i="3"/>
  <c r="D84" i="3"/>
  <c r="C84" i="3"/>
  <c r="B84" i="3"/>
  <c r="N84" i="3" s="1"/>
  <c r="A84" i="3"/>
  <c r="R83" i="3"/>
  <c r="Q83" i="3"/>
  <c r="E83" i="3"/>
  <c r="D83" i="3"/>
  <c r="C83" i="3"/>
  <c r="B83" i="3"/>
  <c r="N83" i="3" s="1"/>
  <c r="A83" i="3"/>
  <c r="R82" i="3"/>
  <c r="Q82" i="3"/>
  <c r="E82" i="3"/>
  <c r="D82" i="3"/>
  <c r="C82" i="3"/>
  <c r="B82" i="3"/>
  <c r="N82" i="3" s="1"/>
  <c r="A82" i="3"/>
  <c r="R81" i="3"/>
  <c r="Q81" i="3"/>
  <c r="E81" i="3"/>
  <c r="D81" i="3"/>
  <c r="C81" i="3"/>
  <c r="B81" i="3"/>
  <c r="N81" i="3" s="1"/>
  <c r="A81" i="3"/>
  <c r="R80" i="3"/>
  <c r="Q80" i="3"/>
  <c r="E80" i="3"/>
  <c r="D80" i="3"/>
  <c r="C80" i="3"/>
  <c r="B80" i="3"/>
  <c r="N80" i="3" s="1"/>
  <c r="A80" i="3"/>
  <c r="R79" i="3"/>
  <c r="Q79" i="3"/>
  <c r="E79" i="3"/>
  <c r="D79" i="3"/>
  <c r="C79" i="3"/>
  <c r="B79" i="3"/>
  <c r="N79" i="3" s="1"/>
  <c r="A79" i="3"/>
  <c r="R78" i="3"/>
  <c r="Q78" i="3"/>
  <c r="E78" i="3"/>
  <c r="D78" i="3"/>
  <c r="C78" i="3"/>
  <c r="B78" i="3"/>
  <c r="N78" i="3" s="1"/>
  <c r="A78" i="3"/>
  <c r="R77" i="3"/>
  <c r="Q77" i="3"/>
  <c r="E77" i="3"/>
  <c r="D77" i="3"/>
  <c r="C77" i="3"/>
  <c r="B77" i="3"/>
  <c r="N77" i="3" s="1"/>
  <c r="A77" i="3"/>
  <c r="R76" i="3"/>
  <c r="Q76" i="3"/>
  <c r="E76" i="3"/>
  <c r="D76" i="3"/>
  <c r="C76" i="3"/>
  <c r="B76" i="3"/>
  <c r="N76" i="3" s="1"/>
  <c r="A76" i="3"/>
  <c r="R75" i="3"/>
  <c r="Q75" i="3"/>
  <c r="E75" i="3"/>
  <c r="D75" i="3"/>
  <c r="C75" i="3"/>
  <c r="B75" i="3"/>
  <c r="N75" i="3" s="1"/>
  <c r="A75" i="3"/>
  <c r="R74" i="3"/>
  <c r="Q74" i="3"/>
  <c r="E74" i="3"/>
  <c r="D74" i="3"/>
  <c r="C74" i="3"/>
  <c r="B74" i="3"/>
  <c r="N74" i="3" s="1"/>
  <c r="A74" i="3"/>
  <c r="R73" i="3"/>
  <c r="Q73" i="3"/>
  <c r="E73" i="3"/>
  <c r="D73" i="3"/>
  <c r="C73" i="3"/>
  <c r="B73" i="3"/>
  <c r="N73" i="3" s="1"/>
  <c r="A73" i="3"/>
  <c r="R72" i="3"/>
  <c r="Q72" i="3"/>
  <c r="E72" i="3"/>
  <c r="D72" i="3"/>
  <c r="C72" i="3"/>
  <c r="B72" i="3"/>
  <c r="N72" i="3" s="1"/>
  <c r="A72" i="3"/>
  <c r="R71" i="3"/>
  <c r="Q71" i="3"/>
  <c r="E71" i="3"/>
  <c r="D71" i="3"/>
  <c r="C71" i="3"/>
  <c r="B71" i="3"/>
  <c r="N71" i="3" s="1"/>
  <c r="A71" i="3"/>
  <c r="R70" i="3"/>
  <c r="Q70" i="3"/>
  <c r="E70" i="3"/>
  <c r="D70" i="3"/>
  <c r="C70" i="3"/>
  <c r="B70" i="3"/>
  <c r="N70" i="3" s="1"/>
  <c r="A70" i="3"/>
  <c r="R69" i="3"/>
  <c r="Q69" i="3"/>
  <c r="E69" i="3"/>
  <c r="D69" i="3"/>
  <c r="C69" i="3"/>
  <c r="B69" i="3"/>
  <c r="N69" i="3" s="1"/>
  <c r="A69" i="3"/>
  <c r="R68" i="3"/>
  <c r="Q68" i="3"/>
  <c r="E68" i="3"/>
  <c r="D68" i="3"/>
  <c r="C68" i="3"/>
  <c r="B68" i="3"/>
  <c r="N68" i="3" s="1"/>
  <c r="A68" i="3"/>
  <c r="R67" i="3"/>
  <c r="Q67" i="3"/>
  <c r="E67" i="3"/>
  <c r="D67" i="3"/>
  <c r="C67" i="3"/>
  <c r="B67" i="3"/>
  <c r="N67" i="3" s="1"/>
  <c r="A67" i="3"/>
  <c r="R66" i="3"/>
  <c r="Q66" i="3"/>
  <c r="E66" i="3"/>
  <c r="D66" i="3"/>
  <c r="C66" i="3"/>
  <c r="B66" i="3"/>
  <c r="N66" i="3" s="1"/>
  <c r="A66" i="3"/>
  <c r="R65" i="3"/>
  <c r="Q65" i="3"/>
  <c r="E65" i="3"/>
  <c r="D65" i="3"/>
  <c r="C65" i="3"/>
  <c r="B65" i="3"/>
  <c r="N65" i="3" s="1"/>
  <c r="A65" i="3"/>
  <c r="R64" i="3"/>
  <c r="Q64" i="3"/>
  <c r="E64" i="3"/>
  <c r="D64" i="3"/>
  <c r="C64" i="3"/>
  <c r="B64" i="3"/>
  <c r="N64" i="3" s="1"/>
  <c r="A64" i="3"/>
  <c r="R63" i="3"/>
  <c r="Q63" i="3"/>
  <c r="E63" i="3"/>
  <c r="D63" i="3"/>
  <c r="C63" i="3"/>
  <c r="B63" i="3"/>
  <c r="N63" i="3" s="1"/>
  <c r="A63" i="3"/>
  <c r="R62" i="3"/>
  <c r="Q62" i="3"/>
  <c r="E62" i="3"/>
  <c r="D62" i="3"/>
  <c r="C62" i="3"/>
  <c r="B62" i="3"/>
  <c r="N62" i="3" s="1"/>
  <c r="A62" i="3"/>
  <c r="R61" i="3"/>
  <c r="Q61" i="3"/>
  <c r="E61" i="3"/>
  <c r="D61" i="3"/>
  <c r="C61" i="3"/>
  <c r="B61" i="3"/>
  <c r="N61" i="3" s="1"/>
  <c r="A61" i="3"/>
  <c r="R60" i="3"/>
  <c r="Q60" i="3"/>
  <c r="E60" i="3"/>
  <c r="D60" i="3"/>
  <c r="C60" i="3"/>
  <c r="B60" i="3"/>
  <c r="N60" i="3" s="1"/>
  <c r="A60" i="3"/>
  <c r="R59" i="3"/>
  <c r="Q59" i="3"/>
  <c r="E59" i="3"/>
  <c r="D59" i="3"/>
  <c r="C59" i="3"/>
  <c r="B59" i="3"/>
  <c r="N59" i="3" s="1"/>
  <c r="A59" i="3"/>
  <c r="R58" i="3"/>
  <c r="Q58" i="3"/>
  <c r="E58" i="3"/>
  <c r="D58" i="3"/>
  <c r="C58" i="3"/>
  <c r="B58" i="3"/>
  <c r="N58" i="3" s="1"/>
  <c r="A58" i="3"/>
  <c r="R57" i="3"/>
  <c r="Q57" i="3"/>
  <c r="E57" i="3"/>
  <c r="D57" i="3"/>
  <c r="C57" i="3"/>
  <c r="B57" i="3"/>
  <c r="N57" i="3" s="1"/>
  <c r="A57" i="3"/>
  <c r="R56" i="3"/>
  <c r="Q56" i="3"/>
  <c r="E56" i="3"/>
  <c r="D56" i="3"/>
  <c r="C56" i="3"/>
  <c r="B56" i="3"/>
  <c r="N56" i="3" s="1"/>
  <c r="A56" i="3"/>
  <c r="R55" i="3"/>
  <c r="Q55" i="3"/>
  <c r="E55" i="3"/>
  <c r="D55" i="3"/>
  <c r="C55" i="3"/>
  <c r="B55" i="3"/>
  <c r="N55" i="3" s="1"/>
  <c r="A55" i="3"/>
  <c r="R54" i="3"/>
  <c r="Q54" i="3"/>
  <c r="E54" i="3"/>
  <c r="D54" i="3"/>
  <c r="C54" i="3"/>
  <c r="B54" i="3"/>
  <c r="N54" i="3" s="1"/>
  <c r="A54" i="3"/>
  <c r="R53" i="3"/>
  <c r="Q53" i="3"/>
  <c r="E53" i="3"/>
  <c r="D53" i="3"/>
  <c r="C53" i="3"/>
  <c r="B53" i="3"/>
  <c r="N53" i="3" s="1"/>
  <c r="A53" i="3"/>
  <c r="R52" i="3"/>
  <c r="Q52" i="3"/>
  <c r="E52" i="3"/>
  <c r="D52" i="3"/>
  <c r="C52" i="3"/>
  <c r="B52" i="3"/>
  <c r="N52" i="3" s="1"/>
  <c r="A52" i="3"/>
  <c r="R51" i="3"/>
  <c r="Q51" i="3"/>
  <c r="E51" i="3"/>
  <c r="D51" i="3"/>
  <c r="C51" i="3"/>
  <c r="B51" i="3"/>
  <c r="N51" i="3" s="1"/>
  <c r="A51" i="3"/>
  <c r="R50" i="3"/>
  <c r="Q50" i="3"/>
  <c r="E50" i="3"/>
  <c r="D50" i="3"/>
  <c r="C50" i="3"/>
  <c r="B50" i="3"/>
  <c r="N50" i="3" s="1"/>
  <c r="A50" i="3"/>
  <c r="R49" i="3"/>
  <c r="Q49" i="3"/>
  <c r="E49" i="3"/>
  <c r="D49" i="3"/>
  <c r="C49" i="3"/>
  <c r="B49" i="3"/>
  <c r="N49" i="3" s="1"/>
  <c r="A49" i="3"/>
  <c r="R48" i="3"/>
  <c r="Q48" i="3"/>
  <c r="E48" i="3"/>
  <c r="D48" i="3"/>
  <c r="C48" i="3"/>
  <c r="B48" i="3"/>
  <c r="N48" i="3" s="1"/>
  <c r="A48" i="3"/>
  <c r="R47" i="3"/>
  <c r="Q47" i="3"/>
  <c r="E47" i="3"/>
  <c r="D47" i="3"/>
  <c r="C47" i="3"/>
  <c r="B47" i="3"/>
  <c r="N47" i="3" s="1"/>
  <c r="A47" i="3"/>
  <c r="R46" i="3"/>
  <c r="Q46" i="3"/>
  <c r="E46" i="3"/>
  <c r="D46" i="3"/>
  <c r="C46" i="3"/>
  <c r="B46" i="3"/>
  <c r="N46" i="3" s="1"/>
  <c r="A46" i="3"/>
  <c r="R45" i="3"/>
  <c r="Q45" i="3"/>
  <c r="E45" i="3"/>
  <c r="D45" i="3"/>
  <c r="C45" i="3"/>
  <c r="B45" i="3"/>
  <c r="N45" i="3" s="1"/>
  <c r="A45" i="3"/>
  <c r="R44" i="3"/>
  <c r="Q44" i="3"/>
  <c r="E44" i="3"/>
  <c r="D44" i="3"/>
  <c r="C44" i="3"/>
  <c r="B44" i="3"/>
  <c r="N44" i="3" s="1"/>
  <c r="A44" i="3"/>
  <c r="R43" i="3"/>
  <c r="Q43" i="3"/>
  <c r="E43" i="3"/>
  <c r="D43" i="3"/>
  <c r="C43" i="3"/>
  <c r="B43" i="3"/>
  <c r="N43" i="3" s="1"/>
  <c r="A43" i="3"/>
  <c r="R42" i="3"/>
  <c r="Q42" i="3"/>
  <c r="E42" i="3"/>
  <c r="D42" i="3"/>
  <c r="C42" i="3"/>
  <c r="B42" i="3"/>
  <c r="N42" i="3" s="1"/>
  <c r="A42" i="3"/>
  <c r="R41" i="3"/>
  <c r="Q41" i="3"/>
  <c r="E41" i="3"/>
  <c r="D41" i="3"/>
  <c r="C41" i="3"/>
  <c r="B41" i="3"/>
  <c r="N41" i="3" s="1"/>
  <c r="A41" i="3"/>
  <c r="R40" i="3"/>
  <c r="Q40" i="3"/>
  <c r="E40" i="3"/>
  <c r="D40" i="3"/>
  <c r="C40" i="3"/>
  <c r="B40" i="3"/>
  <c r="N40" i="3" s="1"/>
  <c r="A40" i="3"/>
  <c r="R39" i="3"/>
  <c r="Q39" i="3"/>
  <c r="E39" i="3"/>
  <c r="D39" i="3"/>
  <c r="C39" i="3"/>
  <c r="B39" i="3"/>
  <c r="N39" i="3" s="1"/>
  <c r="A39" i="3"/>
  <c r="R38" i="3"/>
  <c r="Q38" i="3"/>
  <c r="E38" i="3"/>
  <c r="D38" i="3"/>
  <c r="C38" i="3"/>
  <c r="B38" i="3"/>
  <c r="N38" i="3" s="1"/>
  <c r="A38" i="3"/>
  <c r="R37" i="3"/>
  <c r="Q37" i="3"/>
  <c r="E37" i="3"/>
  <c r="D37" i="3"/>
  <c r="C37" i="3"/>
  <c r="B37" i="3"/>
  <c r="N37" i="3" s="1"/>
  <c r="A37" i="3"/>
  <c r="R36" i="3"/>
  <c r="Q36" i="3"/>
  <c r="E36" i="3"/>
  <c r="D36" i="3"/>
  <c r="C36" i="3"/>
  <c r="B36" i="3"/>
  <c r="N36" i="3" s="1"/>
  <c r="A36" i="3"/>
  <c r="R35" i="3"/>
  <c r="Q35" i="3"/>
  <c r="E35" i="3"/>
  <c r="D35" i="3"/>
  <c r="C35" i="3"/>
  <c r="B35" i="3"/>
  <c r="N35" i="3" s="1"/>
  <c r="A35" i="3"/>
  <c r="BF18" i="2"/>
  <c r="BG18" i="2" s="1"/>
  <c r="BH18" i="2" s="1"/>
  <c r="BC18" i="2"/>
  <c r="AV18" i="2"/>
  <c r="BF17" i="2"/>
  <c r="BG17" i="2" s="1"/>
  <c r="BH17" i="2" s="1"/>
  <c r="BC17" i="2"/>
  <c r="AV17" i="2"/>
  <c r="BF16" i="2"/>
  <c r="BG16" i="2" s="1"/>
  <c r="BH16" i="2" s="1"/>
  <c r="BC16" i="2"/>
  <c r="AV16" i="2"/>
  <c r="BF15" i="2"/>
  <c r="BG15" i="2" s="1"/>
  <c r="BH15" i="2" s="1"/>
  <c r="BC15" i="2"/>
  <c r="AV15" i="2"/>
  <c r="BF14" i="2"/>
  <c r="BG14" i="2" s="1"/>
  <c r="BH14" i="2" s="1"/>
  <c r="BC14" i="2"/>
  <c r="AV14" i="2"/>
  <c r="BC13" i="2"/>
  <c r="BC12" i="2"/>
  <c r="BC11" i="2"/>
  <c r="BC10" i="2"/>
  <c r="BC9" i="2"/>
  <c r="BC8" i="2"/>
  <c r="BC7" i="2"/>
  <c r="BC6" i="2"/>
  <c r="AU6" i="2"/>
  <c r="AU7" i="2" s="1"/>
  <c r="BF5" i="2"/>
  <c r="BG5" i="2" s="1"/>
  <c r="BH5" i="2" s="1"/>
  <c r="BC5" i="2"/>
  <c r="AV5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N24" i="3" s="1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N12" i="3" s="1"/>
  <c r="J174" i="2"/>
  <c r="N11" i="3" s="1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N22" i="3" l="1"/>
  <c r="BI14" i="2"/>
  <c r="BK14" i="2" s="1"/>
  <c r="N9" i="3"/>
  <c r="N23" i="3"/>
  <c r="N10" i="3"/>
  <c r="BI5" i="2"/>
  <c r="BK5" i="2" s="1"/>
  <c r="AY5" i="2" s="1"/>
  <c r="BI18" i="2"/>
  <c r="BK18" i="2" s="1"/>
  <c r="AY18" i="2" s="1"/>
  <c r="N8" i="3"/>
  <c r="BI16" i="2"/>
  <c r="BK16" i="2" s="1"/>
  <c r="AZ16" i="2" s="1"/>
  <c r="BI17" i="2"/>
  <c r="BK17" i="2" s="1"/>
  <c r="AY17" i="2" s="1"/>
  <c r="BI15" i="2"/>
  <c r="BK15" i="2" s="1"/>
  <c r="AY15" i="2" s="1"/>
  <c r="AU8" i="2"/>
  <c r="BF7" i="2"/>
  <c r="BG7" i="2" s="1"/>
  <c r="BH7" i="2" s="1"/>
  <c r="BI7" i="2" s="1"/>
  <c r="BK7" i="2" s="1"/>
  <c r="AV7" i="2"/>
  <c r="AZ14" i="2"/>
  <c r="AY14" i="2"/>
  <c r="AV6" i="2"/>
  <c r="BF6" i="2"/>
  <c r="BG6" i="2" s="1"/>
  <c r="BH6" i="2" s="1"/>
  <c r="BI6" i="2" s="1"/>
  <c r="BK6" i="2" s="1"/>
  <c r="AZ5" i="2" l="1"/>
  <c r="AZ18" i="2"/>
  <c r="AZ15" i="2"/>
  <c r="AZ17" i="2"/>
  <c r="AY16" i="2"/>
  <c r="AZ6" i="2"/>
  <c r="AY6" i="2"/>
  <c r="AZ7" i="2"/>
  <c r="AY7" i="2"/>
  <c r="AU9" i="2"/>
  <c r="BF8" i="2"/>
  <c r="BG8" i="2" s="1"/>
  <c r="BH8" i="2" s="1"/>
  <c r="BI8" i="2" s="1"/>
  <c r="BK8" i="2" s="1"/>
  <c r="AV8" i="2"/>
  <c r="AZ8" i="2" l="1"/>
  <c r="AY8" i="2"/>
  <c r="AU10" i="2"/>
  <c r="BF9" i="2"/>
  <c r="BG9" i="2" s="1"/>
  <c r="BH9" i="2" s="1"/>
  <c r="BI9" i="2" s="1"/>
  <c r="BK9" i="2" s="1"/>
  <c r="AV9" i="2"/>
  <c r="AZ9" i="2" l="1"/>
  <c r="AY9" i="2"/>
  <c r="AU11" i="2"/>
  <c r="BF10" i="2"/>
  <c r="BG10" i="2" s="1"/>
  <c r="BH10" i="2" s="1"/>
  <c r="BI10" i="2" s="1"/>
  <c r="BK10" i="2" s="1"/>
  <c r="AV10" i="2"/>
  <c r="M22" i="3" l="1"/>
  <c r="L29" i="3"/>
  <c r="L33" i="3"/>
  <c r="M15" i="3"/>
  <c r="M29" i="3"/>
  <c r="M31" i="3"/>
  <c r="M33" i="3"/>
  <c r="M18" i="3"/>
  <c r="L9" i="3"/>
  <c r="M14" i="3"/>
  <c r="L17" i="3"/>
  <c r="M20" i="3"/>
  <c r="L31" i="3"/>
  <c r="L10" i="3"/>
  <c r="L13" i="3"/>
  <c r="M9" i="3"/>
  <c r="M17" i="3"/>
  <c r="L20" i="3"/>
  <c r="M12" i="3"/>
  <c r="L15" i="3"/>
  <c r="L18" i="3"/>
  <c r="M10" i="3"/>
  <c r="L21" i="3"/>
  <c r="L28" i="3"/>
  <c r="L16" i="3"/>
  <c r="M11" i="3"/>
  <c r="M16" i="3"/>
  <c r="L22" i="3"/>
  <c r="M21" i="3"/>
  <c r="L8" i="3"/>
  <c r="M34" i="3"/>
  <c r="L30" i="3"/>
  <c r="L32" i="3"/>
  <c r="L34" i="3"/>
  <c r="M32" i="3"/>
  <c r="M8" i="3"/>
  <c r="M13" i="3"/>
  <c r="M30" i="3"/>
  <c r="L19" i="3"/>
  <c r="M19" i="3"/>
  <c r="L11" i="3"/>
  <c r="M28" i="3"/>
  <c r="L14" i="3"/>
  <c r="M35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L119" i="3"/>
  <c r="L120" i="3"/>
  <c r="L35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AZ10" i="2"/>
  <c r="AY10" i="2"/>
  <c r="L12" i="3" s="1"/>
  <c r="AU12" i="2"/>
  <c r="BF11" i="2"/>
  <c r="BG11" i="2" s="1"/>
  <c r="BH11" i="2" s="1"/>
  <c r="BI11" i="2" s="1"/>
  <c r="BK11" i="2" s="1"/>
  <c r="AV11" i="2"/>
  <c r="O120" i="3" l="1"/>
  <c r="S120" i="3" s="1"/>
  <c r="O119" i="3"/>
  <c r="S119" i="3" s="1"/>
  <c r="O20" i="3"/>
  <c r="S20" i="3" s="1"/>
  <c r="O33" i="3"/>
  <c r="S33" i="3" s="1"/>
  <c r="O30" i="3"/>
  <c r="S30" i="3" s="1"/>
  <c r="O28" i="3"/>
  <c r="S28" i="3" s="1"/>
  <c r="O21" i="3"/>
  <c r="S21" i="3" s="1"/>
  <c r="L27" i="3"/>
  <c r="O18" i="3"/>
  <c r="S18" i="3" s="1"/>
  <c r="O32" i="3"/>
  <c r="S32" i="3" s="1"/>
  <c r="O16" i="3"/>
  <c r="S16" i="3" s="1"/>
  <c r="O22" i="3"/>
  <c r="S22" i="3" s="1"/>
  <c r="P12" i="3"/>
  <c r="O12" i="3"/>
  <c r="O19" i="3"/>
  <c r="S19" i="3" s="1"/>
  <c r="P14" i="3"/>
  <c r="O14" i="3"/>
  <c r="P8" i="3"/>
  <c r="O8" i="3"/>
  <c r="O17" i="3"/>
  <c r="S17" i="3" s="1"/>
  <c r="P13" i="3"/>
  <c r="O13" i="3"/>
  <c r="P9" i="3"/>
  <c r="O9" i="3"/>
  <c r="P10" i="3"/>
  <c r="O10" i="3"/>
  <c r="O29" i="3"/>
  <c r="S29" i="3" s="1"/>
  <c r="P11" i="3"/>
  <c r="O11" i="3"/>
  <c r="O34" i="3"/>
  <c r="S34" i="3" s="1"/>
  <c r="O15" i="3"/>
  <c r="S15" i="3" s="1"/>
  <c r="O31" i="3"/>
  <c r="S31" i="3" s="1"/>
  <c r="O118" i="3"/>
  <c r="S118" i="3" s="1"/>
  <c r="O117" i="3"/>
  <c r="S117" i="3" s="1"/>
  <c r="O116" i="3"/>
  <c r="S116" i="3" s="1"/>
  <c r="O115" i="3"/>
  <c r="S115" i="3" s="1"/>
  <c r="O114" i="3"/>
  <c r="S114" i="3" s="1"/>
  <c r="O113" i="3"/>
  <c r="S113" i="3" s="1"/>
  <c r="O112" i="3"/>
  <c r="S112" i="3" s="1"/>
  <c r="O111" i="3"/>
  <c r="S111" i="3" s="1"/>
  <c r="O110" i="3"/>
  <c r="S110" i="3" s="1"/>
  <c r="O109" i="3"/>
  <c r="S109" i="3" s="1"/>
  <c r="O108" i="3"/>
  <c r="S108" i="3" s="1"/>
  <c r="O107" i="3"/>
  <c r="S107" i="3" s="1"/>
  <c r="O106" i="3"/>
  <c r="S106" i="3" s="1"/>
  <c r="O105" i="3"/>
  <c r="S105" i="3" s="1"/>
  <c r="O104" i="3"/>
  <c r="S104" i="3" s="1"/>
  <c r="O103" i="3"/>
  <c r="S103" i="3" s="1"/>
  <c r="O102" i="3"/>
  <c r="S102" i="3" s="1"/>
  <c r="O101" i="3"/>
  <c r="S101" i="3" s="1"/>
  <c r="O100" i="3"/>
  <c r="S100" i="3" s="1"/>
  <c r="O99" i="3"/>
  <c r="S99" i="3" s="1"/>
  <c r="O98" i="3"/>
  <c r="S98" i="3" s="1"/>
  <c r="O97" i="3"/>
  <c r="S97" i="3" s="1"/>
  <c r="O96" i="3"/>
  <c r="S96" i="3" s="1"/>
  <c r="O95" i="3"/>
  <c r="S95" i="3" s="1"/>
  <c r="O94" i="3"/>
  <c r="S94" i="3" s="1"/>
  <c r="O93" i="3"/>
  <c r="S93" i="3" s="1"/>
  <c r="O92" i="3"/>
  <c r="S92" i="3" s="1"/>
  <c r="O91" i="3"/>
  <c r="S91" i="3" s="1"/>
  <c r="O90" i="3"/>
  <c r="S90" i="3" s="1"/>
  <c r="O89" i="3"/>
  <c r="S89" i="3" s="1"/>
  <c r="O88" i="3"/>
  <c r="S88" i="3" s="1"/>
  <c r="O87" i="3"/>
  <c r="S87" i="3" s="1"/>
  <c r="O86" i="3"/>
  <c r="S86" i="3" s="1"/>
  <c r="O85" i="3"/>
  <c r="S85" i="3" s="1"/>
  <c r="O84" i="3"/>
  <c r="S84" i="3" s="1"/>
  <c r="O83" i="3"/>
  <c r="S83" i="3" s="1"/>
  <c r="O82" i="3"/>
  <c r="S82" i="3" s="1"/>
  <c r="O81" i="3"/>
  <c r="S81" i="3" s="1"/>
  <c r="O80" i="3"/>
  <c r="S80" i="3" s="1"/>
  <c r="O79" i="3"/>
  <c r="S79" i="3" s="1"/>
  <c r="O78" i="3"/>
  <c r="S78" i="3" s="1"/>
  <c r="O77" i="3"/>
  <c r="S77" i="3" s="1"/>
  <c r="O76" i="3"/>
  <c r="S76" i="3" s="1"/>
  <c r="O75" i="3"/>
  <c r="S75" i="3" s="1"/>
  <c r="O74" i="3"/>
  <c r="S74" i="3" s="1"/>
  <c r="O73" i="3"/>
  <c r="S73" i="3" s="1"/>
  <c r="O72" i="3"/>
  <c r="S72" i="3" s="1"/>
  <c r="O71" i="3"/>
  <c r="S71" i="3" s="1"/>
  <c r="O70" i="3"/>
  <c r="S70" i="3" s="1"/>
  <c r="O69" i="3"/>
  <c r="S69" i="3" s="1"/>
  <c r="O68" i="3"/>
  <c r="S68" i="3" s="1"/>
  <c r="O67" i="3"/>
  <c r="S67" i="3" s="1"/>
  <c r="O66" i="3"/>
  <c r="S66" i="3" s="1"/>
  <c r="O65" i="3"/>
  <c r="S65" i="3" s="1"/>
  <c r="O64" i="3"/>
  <c r="S64" i="3" s="1"/>
  <c r="O63" i="3"/>
  <c r="S63" i="3" s="1"/>
  <c r="O62" i="3"/>
  <c r="S62" i="3" s="1"/>
  <c r="O61" i="3"/>
  <c r="S61" i="3" s="1"/>
  <c r="O60" i="3"/>
  <c r="S60" i="3" s="1"/>
  <c r="O59" i="3"/>
  <c r="S59" i="3" s="1"/>
  <c r="O58" i="3"/>
  <c r="S58" i="3" s="1"/>
  <c r="O57" i="3"/>
  <c r="S57" i="3" s="1"/>
  <c r="O56" i="3"/>
  <c r="S56" i="3" s="1"/>
  <c r="O55" i="3"/>
  <c r="S55" i="3" s="1"/>
  <c r="O54" i="3"/>
  <c r="S54" i="3" s="1"/>
  <c r="O53" i="3"/>
  <c r="S53" i="3" s="1"/>
  <c r="O52" i="3"/>
  <c r="S52" i="3" s="1"/>
  <c r="O51" i="3"/>
  <c r="S51" i="3" s="1"/>
  <c r="O50" i="3"/>
  <c r="S50" i="3" s="1"/>
  <c r="O49" i="3"/>
  <c r="S49" i="3" s="1"/>
  <c r="O48" i="3"/>
  <c r="S48" i="3" s="1"/>
  <c r="O47" i="3"/>
  <c r="S47" i="3" s="1"/>
  <c r="O46" i="3"/>
  <c r="S46" i="3" s="1"/>
  <c r="O45" i="3"/>
  <c r="S45" i="3" s="1"/>
  <c r="O44" i="3"/>
  <c r="S44" i="3" s="1"/>
  <c r="O43" i="3"/>
  <c r="S43" i="3" s="1"/>
  <c r="O42" i="3"/>
  <c r="S42" i="3" s="1"/>
  <c r="O41" i="3"/>
  <c r="S41" i="3" s="1"/>
  <c r="O40" i="3"/>
  <c r="S40" i="3" s="1"/>
  <c r="O39" i="3"/>
  <c r="S39" i="3" s="1"/>
  <c r="O38" i="3"/>
  <c r="S38" i="3" s="1"/>
  <c r="O37" i="3"/>
  <c r="S37" i="3" s="1"/>
  <c r="O35" i="3"/>
  <c r="S35" i="3" s="1"/>
  <c r="AZ11" i="2"/>
  <c r="AY11" i="2"/>
  <c r="AU13" i="2"/>
  <c r="L26" i="3" s="1"/>
  <c r="BF12" i="2"/>
  <c r="BG12" i="2" s="1"/>
  <c r="BH12" i="2" s="1"/>
  <c r="BI12" i="2" s="1"/>
  <c r="BK12" i="2" s="1"/>
  <c r="AV12" i="2"/>
  <c r="M23" i="3" l="1"/>
  <c r="L23" i="3"/>
  <c r="O23" i="3" s="1"/>
  <c r="S23" i="3" s="1"/>
  <c r="L36" i="3"/>
  <c r="M24" i="3"/>
  <c r="L24" i="3"/>
  <c r="O24" i="3" s="1"/>
  <c r="S24" i="3" s="1"/>
  <c r="M36" i="3"/>
  <c r="M27" i="3"/>
  <c r="O27" i="3" s="1"/>
  <c r="S27" i="3" s="1"/>
  <c r="M26" i="3"/>
  <c r="O26" i="3" s="1"/>
  <c r="S26" i="3" s="1"/>
  <c r="L25" i="3"/>
  <c r="M25" i="3"/>
  <c r="S13" i="3"/>
  <c r="S9" i="3"/>
  <c r="S8" i="3"/>
  <c r="S11" i="3"/>
  <c r="S10" i="3"/>
  <c r="S12" i="3"/>
  <c r="S14" i="3"/>
  <c r="AZ12" i="2"/>
  <c r="AY12" i="2"/>
  <c r="BF13" i="2"/>
  <c r="BG13" i="2" s="1"/>
  <c r="BH13" i="2" s="1"/>
  <c r="BI13" i="2" s="1"/>
  <c r="BK13" i="2" s="1"/>
  <c r="AV13" i="2"/>
  <c r="O36" i="3" l="1"/>
  <c r="S36" i="3" s="1"/>
  <c r="O25" i="3"/>
  <c r="S25" i="3" s="1"/>
  <c r="AZ13" i="2"/>
  <c r="AY13" i="2"/>
  <c r="A22" i="3" l="1"/>
</calcChain>
</file>

<file path=xl/sharedStrings.xml><?xml version="1.0" encoding="utf-8"?>
<sst xmlns="http://schemas.openxmlformats.org/spreadsheetml/2006/main" count="3638" uniqueCount="522">
  <si>
    <t>Total</t>
  </si>
  <si>
    <t>Pile</t>
  </si>
  <si>
    <t>Length</t>
  </si>
  <si>
    <t>(in)</t>
  </si>
  <si>
    <t>Distance from</t>
  </si>
  <si>
    <t>Pile top to</t>
  </si>
  <si>
    <t>Ground Surf.</t>
  </si>
  <si>
    <t>Diameter</t>
  </si>
  <si>
    <t>Section</t>
  </si>
  <si>
    <t>Ix</t>
  </si>
  <si>
    <t>(in^4)</t>
  </si>
  <si>
    <t>Area</t>
  </si>
  <si>
    <t>(in^2)</t>
  </si>
  <si>
    <t>Em</t>
  </si>
  <si>
    <t>psi</t>
  </si>
  <si>
    <t>Lateral</t>
  </si>
  <si>
    <t>Load</t>
  </si>
  <si>
    <t>Maximum</t>
  </si>
  <si>
    <t>(lb/in)</t>
  </si>
  <si>
    <t>Minimum</t>
  </si>
  <si>
    <t>Load Depth</t>
  </si>
  <si>
    <t>p-y mod.</t>
  </si>
  <si>
    <t>(#)</t>
  </si>
  <si>
    <t xml:space="preserve">Drilled </t>
  </si>
  <si>
    <t>Shaft</t>
  </si>
  <si>
    <t>S/D</t>
  </si>
  <si>
    <t>Ratio</t>
  </si>
  <si>
    <t>Steel</t>
  </si>
  <si>
    <t>(type)</t>
  </si>
  <si>
    <t>Station</t>
  </si>
  <si>
    <t>(feet)</t>
  </si>
  <si>
    <t>Roadway</t>
  </si>
  <si>
    <t>X</t>
  </si>
  <si>
    <t>Offset</t>
  </si>
  <si>
    <t>(ft)</t>
  </si>
  <si>
    <t>Resultant</t>
  </si>
  <si>
    <t>(kip)</t>
  </si>
  <si>
    <t>ToR</t>
  </si>
  <si>
    <t>W24x250</t>
  </si>
  <si>
    <t>Rock</t>
  </si>
  <si>
    <t>Socket</t>
  </si>
  <si>
    <t>Surcharge</t>
  </si>
  <si>
    <t>(psf)</t>
  </si>
  <si>
    <t>Live</t>
  </si>
  <si>
    <t>Depth</t>
  </si>
  <si>
    <t>Outside</t>
  </si>
  <si>
    <t>of Pipe</t>
  </si>
  <si>
    <t>Pipe</t>
  </si>
  <si>
    <t>Wall</t>
  </si>
  <si>
    <t>Thickness</t>
  </si>
  <si>
    <t>Type</t>
  </si>
  <si>
    <t>Soil</t>
  </si>
  <si>
    <t>Layer</t>
  </si>
  <si>
    <t>No.</t>
  </si>
  <si>
    <t>Weight</t>
  </si>
  <si>
    <t>(pci)</t>
  </si>
  <si>
    <t>Cohesion</t>
  </si>
  <si>
    <t>C or Qu</t>
  </si>
  <si>
    <t>(psi)</t>
  </si>
  <si>
    <t>Friction</t>
  </si>
  <si>
    <t>(deg.)</t>
  </si>
  <si>
    <t>or</t>
  </si>
  <si>
    <t>RQD</t>
  </si>
  <si>
    <t>(%)</t>
  </si>
  <si>
    <t>Soil Layers</t>
  </si>
  <si>
    <t>Geometry and Steel Section</t>
  </si>
  <si>
    <t>Depths/Lengths</t>
  </si>
  <si>
    <t>Pile Properties</t>
  </si>
  <si>
    <t>Pile Sectional Properties</t>
  </si>
  <si>
    <r>
      <t>k</t>
    </r>
    <r>
      <rPr>
        <vertAlign val="subscript"/>
        <sz val="10"/>
        <color rgb="FF000000"/>
        <rFont val="Arial"/>
        <family val="2"/>
      </rPr>
      <t>rm</t>
    </r>
  </si>
  <si>
    <r>
      <t>E</t>
    </r>
    <r>
      <rPr>
        <vertAlign val="subscript"/>
        <sz val="10"/>
        <color rgb="FF000000"/>
        <rFont val="Arial"/>
        <family val="2"/>
      </rPr>
      <t>50</t>
    </r>
  </si>
  <si>
    <t>Distributed Lateral Loads</t>
  </si>
  <si>
    <t>p-y</t>
  </si>
  <si>
    <t>X-sec Dim.</t>
  </si>
  <si>
    <t>C</t>
  </si>
  <si>
    <t>(pcf)</t>
  </si>
  <si>
    <t>-</t>
  </si>
  <si>
    <t>Tot.Unit</t>
  </si>
  <si>
    <t>p-y k (pci)</t>
  </si>
  <si>
    <t>Er (psi)</t>
  </si>
  <si>
    <t>(ft-lb)</t>
  </si>
  <si>
    <t>Approx.</t>
  </si>
  <si>
    <t>(in-kip)</t>
  </si>
  <si>
    <t>Sx</t>
  </si>
  <si>
    <t>(in^3)</t>
  </si>
  <si>
    <t>Try</t>
  </si>
  <si>
    <t>Beam</t>
  </si>
  <si>
    <t>HP 8x 36</t>
  </si>
  <si>
    <t>HP10x 42</t>
  </si>
  <si>
    <t>HP10x 57</t>
  </si>
  <si>
    <t>HP12x 53</t>
  </si>
  <si>
    <t>HP12x 63</t>
  </si>
  <si>
    <t>HP12x 74</t>
  </si>
  <si>
    <t>HP12x 84</t>
  </si>
  <si>
    <t>HP13x 60</t>
  </si>
  <si>
    <t>HP13x 73</t>
  </si>
  <si>
    <t>HP13x 87</t>
  </si>
  <si>
    <t>HP13x100</t>
  </si>
  <si>
    <t>HP14x 73</t>
  </si>
  <si>
    <t>HP14x 89</t>
  </si>
  <si>
    <t>HP14x102</t>
  </si>
  <si>
    <t>HP14x117</t>
  </si>
  <si>
    <t>W 4x 13</t>
  </si>
  <si>
    <t>W 5x 16</t>
  </si>
  <si>
    <t>W 5x 19</t>
  </si>
  <si>
    <t>W 6x  9</t>
  </si>
  <si>
    <t>W 6x 12</t>
  </si>
  <si>
    <t>W 6x 15</t>
  </si>
  <si>
    <t>W 6x 16</t>
  </si>
  <si>
    <t>W 6x 20</t>
  </si>
  <si>
    <t>W 6x 25</t>
  </si>
  <si>
    <t>W 8x 10</t>
  </si>
  <si>
    <t>W 8x 13</t>
  </si>
  <si>
    <t>W 8x 15</t>
  </si>
  <si>
    <t>W 8x 18</t>
  </si>
  <si>
    <t>W 8x 21</t>
  </si>
  <si>
    <t>W 8x 24</t>
  </si>
  <si>
    <t>W 8x 28</t>
  </si>
  <si>
    <t>W 8x 31</t>
  </si>
  <si>
    <t>W 8x 35</t>
  </si>
  <si>
    <t>W 8x 40</t>
  </si>
  <si>
    <t>W 8x 48</t>
  </si>
  <si>
    <t>W 8x 58</t>
  </si>
  <si>
    <t>W 8x 67</t>
  </si>
  <si>
    <t>W10x 12</t>
  </si>
  <si>
    <t>W10x 15</t>
  </si>
  <si>
    <t>W10x 17</t>
  </si>
  <si>
    <t>W10x 19</t>
  </si>
  <si>
    <t>W10x 22</t>
  </si>
  <si>
    <t>W10x 26</t>
  </si>
  <si>
    <t>W10x 30</t>
  </si>
  <si>
    <t>W10x 33</t>
  </si>
  <si>
    <t>W10x 39</t>
  </si>
  <si>
    <t>W10x 45</t>
  </si>
  <si>
    <t>W10x 49</t>
  </si>
  <si>
    <t>W10x 54</t>
  </si>
  <si>
    <t>W10x 60</t>
  </si>
  <si>
    <t>W10x 68</t>
  </si>
  <si>
    <t>W10x 77</t>
  </si>
  <si>
    <t>W10x 88</t>
  </si>
  <si>
    <t>W10x100</t>
  </si>
  <si>
    <t>W10x112</t>
  </si>
  <si>
    <t>W12x 14</t>
  </si>
  <si>
    <t>W12x 16</t>
  </si>
  <si>
    <t>W12x 19</t>
  </si>
  <si>
    <t>W12x 22</t>
  </si>
  <si>
    <t>W12x 26</t>
  </si>
  <si>
    <t>W12x 30</t>
  </si>
  <si>
    <t>W12x 35</t>
  </si>
  <si>
    <t>W12x 40</t>
  </si>
  <si>
    <t>W12x 45</t>
  </si>
  <si>
    <t>W12x 50</t>
  </si>
  <si>
    <t>W12x 53</t>
  </si>
  <si>
    <t>W12x 58</t>
  </si>
  <si>
    <t>W12x 65</t>
  </si>
  <si>
    <t>W12x 72</t>
  </si>
  <si>
    <t>W12x 79</t>
  </si>
  <si>
    <t>W12x 87</t>
  </si>
  <si>
    <t>W12x 96</t>
  </si>
  <si>
    <t>W12x106</t>
  </si>
  <si>
    <t>W12x120</t>
  </si>
  <si>
    <t>W12x136</t>
  </si>
  <si>
    <t>W12x152</t>
  </si>
  <si>
    <t>W12x170</t>
  </si>
  <si>
    <t>W12x190</t>
  </si>
  <si>
    <t>W12x210</t>
  </si>
  <si>
    <t>W12x230</t>
  </si>
  <si>
    <t>W12x252</t>
  </si>
  <si>
    <t>W12x279</t>
  </si>
  <si>
    <t>W12x305</t>
  </si>
  <si>
    <t>W12x336</t>
  </si>
  <si>
    <t>W14x 22</t>
  </si>
  <si>
    <t>W14x 26</t>
  </si>
  <si>
    <t>W14x 30</t>
  </si>
  <si>
    <t>W14x 34</t>
  </si>
  <si>
    <t>W14x 38</t>
  </si>
  <si>
    <t>W14x 43</t>
  </si>
  <si>
    <t>W14x 48</t>
  </si>
  <si>
    <t>W14x 53</t>
  </si>
  <si>
    <t>W14x 61</t>
  </si>
  <si>
    <t>W14x 68</t>
  </si>
  <si>
    <t>W14x 74</t>
  </si>
  <si>
    <t>W14x 82</t>
  </si>
  <si>
    <t>W14x 90</t>
  </si>
  <si>
    <t>W14x 99</t>
  </si>
  <si>
    <t>W14x109</t>
  </si>
  <si>
    <t>W14x120</t>
  </si>
  <si>
    <t>W14x132</t>
  </si>
  <si>
    <t>W14x145</t>
  </si>
  <si>
    <t>W14x159</t>
  </si>
  <si>
    <t>W14x176</t>
  </si>
  <si>
    <t>W14x193</t>
  </si>
  <si>
    <t>W14x211</t>
  </si>
  <si>
    <t>W14x233</t>
  </si>
  <si>
    <t>W14x257</t>
  </si>
  <si>
    <t>W14x283</t>
  </si>
  <si>
    <t>W14x311</t>
  </si>
  <si>
    <t>W14x342</t>
  </si>
  <si>
    <t>W14x370</t>
  </si>
  <si>
    <t>W14x398</t>
  </si>
  <si>
    <t>W14x426</t>
  </si>
  <si>
    <t>W14x455</t>
  </si>
  <si>
    <t>W14x500</t>
  </si>
  <si>
    <t>W14x550</t>
  </si>
  <si>
    <t>W14x605</t>
  </si>
  <si>
    <t>W14x665</t>
  </si>
  <si>
    <t>W14x730</t>
  </si>
  <si>
    <t>W16x 26</t>
  </si>
  <si>
    <t>W16x 31</t>
  </si>
  <si>
    <t>W16x 36</t>
  </si>
  <si>
    <t>W16x 40</t>
  </si>
  <si>
    <t>W16x 45</t>
  </si>
  <si>
    <t>W16x 50</t>
  </si>
  <si>
    <t>W16x 57</t>
  </si>
  <si>
    <t>W16x 67</t>
  </si>
  <si>
    <t>W16x 77</t>
  </si>
  <si>
    <t>W16x 89</t>
  </si>
  <si>
    <t>W16x100</t>
  </si>
  <si>
    <t>W18x 35</t>
  </si>
  <si>
    <t>W18x 40</t>
  </si>
  <si>
    <t>W18x 46</t>
  </si>
  <si>
    <t>W18x 50</t>
  </si>
  <si>
    <t>W18x 55</t>
  </si>
  <si>
    <t>W18x 60</t>
  </si>
  <si>
    <t>W18x 65</t>
  </si>
  <si>
    <t>W18x 71</t>
  </si>
  <si>
    <t>W18x 76</t>
  </si>
  <si>
    <t>W18x 86</t>
  </si>
  <si>
    <t>W18x 97</t>
  </si>
  <si>
    <t>W18x106</t>
  </si>
  <si>
    <t>W18x119</t>
  </si>
  <si>
    <t>W18x130</t>
  </si>
  <si>
    <t>W18x143</t>
  </si>
  <si>
    <t>W18x158</t>
  </si>
  <si>
    <t>W18x175</t>
  </si>
  <si>
    <t>W18x192</t>
  </si>
  <si>
    <t>W18x211</t>
  </si>
  <si>
    <t>W18x234</t>
  </si>
  <si>
    <t>W18x258</t>
  </si>
  <si>
    <t>W18x283</t>
  </si>
  <si>
    <t>W18x311</t>
  </si>
  <si>
    <t>W21x 44</t>
  </si>
  <si>
    <t>W21x 50</t>
  </si>
  <si>
    <t>W21x 57</t>
  </si>
  <si>
    <t>W21x 62</t>
  </si>
  <si>
    <t>W21x 68</t>
  </si>
  <si>
    <t>W21x 73</t>
  </si>
  <si>
    <t>W21x 83</t>
  </si>
  <si>
    <t>W21x 93</t>
  </si>
  <si>
    <t>W21x101</t>
  </si>
  <si>
    <t>W21x111</t>
  </si>
  <si>
    <t>W21x122</t>
  </si>
  <si>
    <t>W21x132</t>
  </si>
  <si>
    <t>W21x147</t>
  </si>
  <si>
    <t>W21x166</t>
  </si>
  <si>
    <t>W24x 55</t>
  </si>
  <si>
    <t>W24x 62</t>
  </si>
  <si>
    <t>W24x 68</t>
  </si>
  <si>
    <t>W24x 76</t>
  </si>
  <si>
    <t>W24x 84</t>
  </si>
  <si>
    <t>W24x 94</t>
  </si>
  <si>
    <t>W24x103</t>
  </si>
  <si>
    <t>W24x104</t>
  </si>
  <si>
    <t>W24x117</t>
  </si>
  <si>
    <t>W24x131</t>
  </si>
  <si>
    <t>W24x146</t>
  </si>
  <si>
    <t>W24x162</t>
  </si>
  <si>
    <t>W24x176</t>
  </si>
  <si>
    <t>W24x192</t>
  </si>
  <si>
    <t>W24x207</t>
  </si>
  <si>
    <t>W24x229</t>
  </si>
  <si>
    <t>W24x279</t>
  </si>
  <si>
    <t>W24x306</t>
  </si>
  <si>
    <t>W24x335</t>
  </si>
  <si>
    <t>W24x370</t>
  </si>
  <si>
    <t>W24x408</t>
  </si>
  <si>
    <t>W24x450</t>
  </si>
  <si>
    <t>W24x492</t>
  </si>
  <si>
    <t>W27x 84</t>
  </si>
  <si>
    <t>W27x 94</t>
  </si>
  <si>
    <t>W27x102</t>
  </si>
  <si>
    <t>W27x114</t>
  </si>
  <si>
    <t>W27x129</t>
  </si>
  <si>
    <t>W27x146</t>
  </si>
  <si>
    <t>W27x161</t>
  </si>
  <si>
    <t>W27x178</t>
  </si>
  <si>
    <t>W27x194</t>
  </si>
  <si>
    <t>W27x217</t>
  </si>
  <si>
    <t>W27x235</t>
  </si>
  <si>
    <t>W27x258</t>
  </si>
  <si>
    <t>W27x281</t>
  </si>
  <si>
    <t>W27x307</t>
  </si>
  <si>
    <t>W27x336</t>
  </si>
  <si>
    <t>W27x368</t>
  </si>
  <si>
    <t>W27x407</t>
  </si>
  <si>
    <t>W27x448</t>
  </si>
  <si>
    <t>W30x 90</t>
  </si>
  <si>
    <t>W30x 99</t>
  </si>
  <si>
    <t>W30x108</t>
  </si>
  <si>
    <t>W30x116</t>
  </si>
  <si>
    <t>W30x124</t>
  </si>
  <si>
    <t>W30x132</t>
  </si>
  <si>
    <t>W30x148</t>
  </si>
  <si>
    <t>W30x173</t>
  </si>
  <si>
    <t>W30x191</t>
  </si>
  <si>
    <t>W30x211</t>
  </si>
  <si>
    <t>W30x235</t>
  </si>
  <si>
    <t>W30x261</t>
  </si>
  <si>
    <t>W30x292</t>
  </si>
  <si>
    <t>W30x326</t>
  </si>
  <si>
    <t>W30x357</t>
  </si>
  <si>
    <t>W30x391</t>
  </si>
  <si>
    <t>W33x118</t>
  </si>
  <si>
    <t>W33x130</t>
  </si>
  <si>
    <t>W33x141</t>
  </si>
  <si>
    <t>W33x152</t>
  </si>
  <si>
    <t>W33x169</t>
  </si>
  <si>
    <t>W33x201</t>
  </si>
  <si>
    <t>W33x221</t>
  </si>
  <si>
    <t>W33x241</t>
  </si>
  <si>
    <t>W33x263</t>
  </si>
  <si>
    <t>W33x291</t>
  </si>
  <si>
    <t>W33x318</t>
  </si>
  <si>
    <t>W33x354</t>
  </si>
  <si>
    <t>W36x135</t>
  </si>
  <si>
    <t>W36x150</t>
  </si>
  <si>
    <t>W36x160</t>
  </si>
  <si>
    <t>W36x170</t>
  </si>
  <si>
    <t>W36x182</t>
  </si>
  <si>
    <t>W36x194</t>
  </si>
  <si>
    <t>W36x210</t>
  </si>
  <si>
    <t>W36x231</t>
  </si>
  <si>
    <t>W36x232</t>
  </si>
  <si>
    <t>W36x247</t>
  </si>
  <si>
    <t>W36x256</t>
  </si>
  <si>
    <t>W36x262</t>
  </si>
  <si>
    <t>W36x282</t>
  </si>
  <si>
    <t>W36x302</t>
  </si>
  <si>
    <t>W36x330</t>
  </si>
  <si>
    <t>W36x361</t>
  </si>
  <si>
    <t>W36x395</t>
  </si>
  <si>
    <t>W36x441</t>
  </si>
  <si>
    <t>W36x487</t>
  </si>
  <si>
    <t>W36x529</t>
  </si>
  <si>
    <t>W36x652</t>
  </si>
  <si>
    <t>W36x800</t>
  </si>
  <si>
    <t>Steel Beam Sections</t>
  </si>
  <si>
    <t>18" Sections</t>
  </si>
  <si>
    <t>24" Sections</t>
  </si>
  <si>
    <t>30" Sections</t>
  </si>
  <si>
    <t>36" Sections</t>
  </si>
  <si>
    <t>42" Sections</t>
  </si>
  <si>
    <t>48" Sections</t>
  </si>
  <si>
    <t>N/A</t>
  </si>
  <si>
    <t>All Sections</t>
  </si>
  <si>
    <t>As</t>
  </si>
  <si>
    <t>Flange tf</t>
  </si>
  <si>
    <t>Pipe OD</t>
  </si>
  <si>
    <t>(lb)</t>
  </si>
  <si>
    <t>Wt.</t>
  </si>
  <si>
    <t>Above</t>
  </si>
  <si>
    <t>Into</t>
  </si>
  <si>
    <t>Drilled Shaft Costs</t>
  </si>
  <si>
    <t>12/31/09 Search</t>
  </si>
  <si>
    <t>No Reinforcing Steel</t>
  </si>
  <si>
    <t>#11 Long</t>
  </si>
  <si>
    <t>Number</t>
  </si>
  <si>
    <t>Weight of</t>
  </si>
  <si>
    <t>#4 Spiral</t>
  </si>
  <si>
    <t>Spiral</t>
  </si>
  <si>
    <t>Length of</t>
  </si>
  <si>
    <t>Volume of</t>
  </si>
  <si>
    <t>Cost of</t>
  </si>
  <si>
    <t>Drilled</t>
  </si>
  <si>
    <t>Above Rock</t>
  </si>
  <si>
    <t>Into Rock</t>
  </si>
  <si>
    <t>Bar Size</t>
  </si>
  <si>
    <t>of Long</t>
  </si>
  <si>
    <t>Long Bars</t>
  </si>
  <si>
    <t>Pitch</t>
  </si>
  <si>
    <t>one Spiral</t>
  </si>
  <si>
    <t>Shaft Size</t>
  </si>
  <si>
    <t>Diam (in.)</t>
  </si>
  <si>
    <t>Diam. (ft)</t>
  </si>
  <si>
    <t>per LF</t>
  </si>
  <si>
    <t>(inches)</t>
  </si>
  <si>
    <t>Bars</t>
  </si>
  <si>
    <t>(lb / LF)</t>
  </si>
  <si>
    <t>($ / lb)</t>
  </si>
  <si>
    <t>($ / LF)</t>
  </si>
  <si>
    <t>18-inch</t>
  </si>
  <si>
    <t>18</t>
  </si>
  <si>
    <t>24-inch</t>
  </si>
  <si>
    <t>30-inch</t>
  </si>
  <si>
    <t>36-inch</t>
  </si>
  <si>
    <t>42-inch</t>
  </si>
  <si>
    <t>48-inch</t>
  </si>
  <si>
    <t>54-inch</t>
  </si>
  <si>
    <t>60-inch</t>
  </si>
  <si>
    <t>66-inch</t>
  </si>
  <si>
    <t>72-inch</t>
  </si>
  <si>
    <t>78-inch</t>
  </si>
  <si>
    <t>84-inch</t>
  </si>
  <si>
    <t>90-inch</t>
  </si>
  <si>
    <t>96-inch</t>
  </si>
  <si>
    <t>Cost Analysis</t>
  </si>
  <si>
    <t>Drilled Shaft Cost</t>
  </si>
  <si>
    <t>Drilling</t>
  </si>
  <si>
    <t>($/LF)</t>
  </si>
  <si>
    <t>per</t>
  </si>
  <si>
    <t>($)</t>
  </si>
  <si>
    <t>Cost</t>
  </si>
  <si>
    <t>Plug</t>
  </si>
  <si>
    <t>(Y/N)</t>
  </si>
  <si>
    <t>Total per</t>
  </si>
  <si>
    <t>Reinforced</t>
  </si>
  <si>
    <t>Plug Pile</t>
  </si>
  <si>
    <t>of "Wall"</t>
  </si>
  <si>
    <t>Lagging</t>
  </si>
  <si>
    <t>Precast</t>
  </si>
  <si>
    <t>Timber</t>
  </si>
  <si>
    <t>of</t>
  </si>
  <si>
    <t>Tiebacks</t>
  </si>
  <si>
    <t>($/SF)</t>
  </si>
  <si>
    <t>for</t>
  </si>
  <si>
    <t>Excavation</t>
  </si>
  <si>
    <t>Tieback</t>
  </si>
  <si>
    <t>Anchor</t>
  </si>
  <si>
    <t>($/EA)</t>
  </si>
  <si>
    <t>Wall Options</t>
  </si>
  <si>
    <t>Structure</t>
  </si>
  <si>
    <t>First Iteration Moment and Section</t>
  </si>
  <si>
    <t>Dwtw</t>
  </si>
  <si>
    <t>Used</t>
  </si>
  <si>
    <t>Final Iteration Steel Section Criteria</t>
  </si>
  <si>
    <t>%Est./</t>
  </si>
  <si>
    <t>V</t>
  </si>
  <si>
    <r>
      <rPr>
        <b/>
        <sz val="10"/>
        <color theme="1"/>
        <rFont val="Arial Narrow"/>
        <family val="2"/>
      </rPr>
      <t>M</t>
    </r>
    <r>
      <rPr>
        <sz val="10"/>
        <color theme="1"/>
        <rFont val="Arial Narrow"/>
        <family val="2"/>
      </rPr>
      <t>max</t>
    </r>
  </si>
  <si>
    <t>Req'd.</t>
  </si>
  <si>
    <t>Req'd./</t>
  </si>
  <si>
    <t>EH</t>
  </si>
  <si>
    <t>Shaft Loading</t>
  </si>
  <si>
    <t>Retained Soil:</t>
  </si>
  <si>
    <t>°</t>
  </si>
  <si>
    <t>ft</t>
  </si>
  <si>
    <r>
      <t>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=</t>
    </r>
  </si>
  <si>
    <t>Spacing</t>
  </si>
  <si>
    <t>LRFD Load Factors</t>
  </si>
  <si>
    <t>Embed.</t>
  </si>
  <si>
    <t>D</t>
  </si>
  <si>
    <t>Pile Top Elev. (ft) =</t>
  </si>
  <si>
    <t>Precast Lagging</t>
  </si>
  <si>
    <t>FACTORED LOADING</t>
  </si>
  <si>
    <t>UNFACTORED LOADING</t>
  </si>
  <si>
    <t>Angle</t>
  </si>
  <si>
    <t>Submerged?</t>
  </si>
  <si>
    <t>Unit</t>
  </si>
  <si>
    <t>ksi</t>
  </si>
  <si>
    <r>
      <t>Steel Yield Strength (F</t>
    </r>
    <r>
      <rPr>
        <vertAlign val="subscript"/>
        <sz val="10"/>
        <rFont val="Arial Narrow"/>
        <family val="2"/>
      </rPr>
      <t>y</t>
    </r>
    <r>
      <rPr>
        <sz val="10"/>
        <rFont val="Arial Narrow"/>
        <family val="2"/>
      </rPr>
      <t>) =</t>
    </r>
  </si>
  <si>
    <t>LPILE Calculated Stress/Strain</t>
  </si>
  <si>
    <r>
      <rPr>
        <b/>
        <sz val="10"/>
        <color theme="1"/>
        <rFont val="Arial Narrow"/>
        <family val="2"/>
      </rPr>
      <t>V</t>
    </r>
    <r>
      <rPr>
        <sz val="10"/>
        <color theme="1"/>
        <rFont val="Arial Narrow"/>
        <family val="2"/>
      </rPr>
      <t>max</t>
    </r>
  </si>
  <si>
    <t>Moment</t>
  </si>
  <si>
    <t>Shear</t>
  </si>
  <si>
    <t>Deflection</t>
  </si>
  <si>
    <r>
      <rPr>
        <b/>
        <sz val="10"/>
        <color theme="1"/>
        <rFont val="Arial Narrow"/>
        <family val="2"/>
      </rPr>
      <t>X</t>
    </r>
    <r>
      <rPr>
        <sz val="10"/>
        <color theme="1"/>
        <rFont val="Arial Narrow"/>
        <family val="2"/>
      </rPr>
      <t>max</t>
    </r>
  </si>
  <si>
    <t>(in-lbs)</t>
  </si>
  <si>
    <t>(lbs)</t>
  </si>
  <si>
    <t>LRFD Drilled Shaft Design with LPILE</t>
  </si>
  <si>
    <t>LPILE Minimum Steel Section Criteria</t>
  </si>
  <si>
    <t>LRFD Resistance Factors</t>
  </si>
  <si>
    <t>Xmax&lt;1%</t>
  </si>
  <si>
    <t>OK?</t>
  </si>
  <si>
    <t>(YES/NO)</t>
  </si>
  <si>
    <t>Used/</t>
  </si>
  <si>
    <t>Lagged</t>
  </si>
  <si>
    <t>Timber Lagging</t>
  </si>
  <si>
    <t>Spaced Piles</t>
  </si>
  <si>
    <t>Tangent Piles</t>
  </si>
  <si>
    <t>"Plug Pile" Wall</t>
  </si>
  <si>
    <t>Wall Types</t>
  </si>
  <si>
    <t>Plug Pile Wall</t>
  </si>
  <si>
    <t>Deflecting</t>
  </si>
  <si>
    <t>lb</t>
  </si>
  <si>
    <t>Ground Surface Drop =</t>
  </si>
  <si>
    <r>
      <t>Shear Depth (d</t>
    </r>
    <r>
      <rPr>
        <vertAlign val="subscript"/>
        <sz val="10"/>
        <color indexed="8"/>
        <rFont val="Calibri"/>
        <family val="2"/>
      </rPr>
      <t>τ</t>
    </r>
    <r>
      <rPr>
        <sz val="10"/>
        <color indexed="8"/>
        <rFont val="Arial"/>
        <family val="2"/>
      </rPr>
      <t>) =</t>
    </r>
  </si>
  <si>
    <r>
      <t>UA Slope Resultant Load</t>
    </r>
    <r>
      <rPr>
        <sz val="10"/>
        <rFont val="Arial"/>
        <family val="2"/>
      </rPr>
      <t xml:space="preserve"> =</t>
    </r>
  </si>
  <si>
    <r>
      <rPr>
        <sz val="10"/>
        <color rgb="FF000000"/>
        <rFont val="Arial"/>
        <family val="2"/>
      </rPr>
      <t>Downslope Angle (</t>
    </r>
    <r>
      <rPr>
        <sz val="10"/>
        <color theme="1"/>
        <rFont val="Arial"/>
        <family val="2"/>
      </rPr>
      <t>β</t>
    </r>
    <r>
      <rPr>
        <vertAlign val="subscript"/>
        <sz val="10"/>
        <color theme="1"/>
        <rFont val="Arial"/>
        <family val="2"/>
      </rPr>
      <t>dh</t>
    </r>
    <r>
      <rPr>
        <sz val="10"/>
        <color rgb="FF000000"/>
        <rFont val="Arial"/>
        <family val="2"/>
      </rPr>
      <t>) =</t>
    </r>
  </si>
  <si>
    <t>Slope Geometry:</t>
  </si>
  <si>
    <r>
      <t>d</t>
    </r>
    <r>
      <rPr>
        <vertAlign val="subscript"/>
        <sz val="10"/>
        <color rgb="FF000000"/>
        <rFont val="Arial Narrow"/>
        <family val="2"/>
      </rPr>
      <t>L</t>
    </r>
  </si>
  <si>
    <r>
      <t>d</t>
    </r>
    <r>
      <rPr>
        <vertAlign val="subscript"/>
        <sz val="10"/>
        <color rgb="FF000000"/>
        <rFont val="Arial Narrow"/>
        <family val="2"/>
      </rPr>
      <t>TR</t>
    </r>
  </si>
  <si>
    <r>
      <t>d</t>
    </r>
    <r>
      <rPr>
        <vertAlign val="subscript"/>
        <sz val="10"/>
        <color theme="1"/>
        <rFont val="Calibri"/>
        <family val="2"/>
        <scheme val="minor"/>
      </rPr>
      <t>τ</t>
    </r>
    <r>
      <rPr>
        <sz val="10"/>
        <color theme="1"/>
        <rFont val="Arial"/>
        <family val="2"/>
      </rPr>
      <t xml:space="preserve"> = </t>
    </r>
    <r>
      <rPr>
        <sz val="10"/>
        <color theme="1"/>
        <rFont val="Arial Narrow"/>
        <family val="2"/>
      </rPr>
      <t>H</t>
    </r>
  </si>
  <si>
    <t>Regraded Downslope Elevation (Base of Wall) =</t>
  </si>
  <si>
    <t>Passive Resistance Reduction Method</t>
  </si>
  <si>
    <t>Method</t>
  </si>
  <si>
    <t>Load Transfer Reduction</t>
  </si>
  <si>
    <t>Ground Surface Drop</t>
  </si>
  <si>
    <t>Regraded Downslope</t>
  </si>
  <si>
    <t>UA Slope Factor of Safety (FS) =</t>
  </si>
  <si>
    <t>p-multiplier</t>
  </si>
  <si>
    <t>Base</t>
  </si>
  <si>
    <t>Reduced</t>
  </si>
  <si>
    <t>UA Slope Load Transfer Factor (η) =</t>
  </si>
  <si>
    <r>
      <t>Friction Angle (</t>
    </r>
    <r>
      <rPr>
        <sz val="10"/>
        <rFont val="Calibri"/>
        <family val="2"/>
      </rPr>
      <t>φ</t>
    </r>
    <r>
      <rPr>
        <sz val="10"/>
        <rFont val="Arial"/>
        <family val="2"/>
      </rPr>
      <t>) =</t>
    </r>
  </si>
  <si>
    <r>
      <t>Interface Friction Angle</t>
    </r>
    <r>
      <rPr>
        <sz val="10"/>
        <rFont val="Arial"/>
        <family val="2"/>
      </rPr>
      <t xml:space="preserve"> (</t>
    </r>
    <r>
      <rPr>
        <sz val="10"/>
        <rFont val="Calibri"/>
        <family val="2"/>
      </rPr>
      <t>δ</t>
    </r>
    <r>
      <rPr>
        <sz val="10"/>
        <rFont val="Arial"/>
        <family val="2"/>
      </rPr>
      <t>) =</t>
    </r>
  </si>
  <si>
    <r>
      <t>Backslope Angle (</t>
    </r>
    <r>
      <rPr>
        <sz val="10"/>
        <rFont val="Calibri"/>
        <family val="2"/>
      </rPr>
      <t>β</t>
    </r>
    <r>
      <rPr>
        <sz val="11"/>
        <color theme="1"/>
        <rFont val="Calibri"/>
        <family val="2"/>
        <scheme val="minor"/>
      </rPr>
      <t>) =</t>
    </r>
  </si>
  <si>
    <r>
      <t>Batter Angle (</t>
    </r>
    <r>
      <rPr>
        <sz val="10"/>
        <rFont val="Calibri"/>
        <family val="2"/>
      </rPr>
      <t>α</t>
    </r>
    <r>
      <rPr>
        <sz val="10"/>
        <rFont val="Arial"/>
        <family val="2"/>
      </rPr>
      <t>) =</t>
    </r>
  </si>
  <si>
    <r>
      <t>LS  (</t>
    </r>
    <r>
      <rPr>
        <sz val="12"/>
        <rFont val="Calibri"/>
        <family val="2"/>
      </rPr>
      <t>γ</t>
    </r>
    <r>
      <rPr>
        <vertAlign val="subscript"/>
        <sz val="10"/>
        <rFont val="Arial"/>
        <family val="2"/>
      </rPr>
      <t>LS</t>
    </r>
    <r>
      <rPr>
        <sz val="10"/>
        <rFont val="Arial"/>
        <family val="2"/>
      </rPr>
      <t>) =</t>
    </r>
  </si>
  <si>
    <r>
      <t>EH (</t>
    </r>
    <r>
      <rPr>
        <sz val="12"/>
        <rFont val="Calibri"/>
        <family val="2"/>
      </rPr>
      <t>γ</t>
    </r>
    <r>
      <rPr>
        <vertAlign val="subscript"/>
        <sz val="10"/>
        <rFont val="Arial"/>
        <family val="2"/>
      </rPr>
      <t>EH</t>
    </r>
    <r>
      <rPr>
        <sz val="10"/>
        <rFont val="Arial"/>
        <family val="2"/>
      </rPr>
      <t>) =</t>
    </r>
  </si>
  <si>
    <r>
      <t>Flexure (</t>
    </r>
    <r>
      <rPr>
        <sz val="10"/>
        <rFont val="Calibri"/>
        <family val="2"/>
      </rPr>
      <t>φ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) =</t>
    </r>
  </si>
  <si>
    <r>
      <t>Shear (</t>
    </r>
    <r>
      <rPr>
        <sz val="10"/>
        <rFont val="Calibri"/>
        <family val="2"/>
      </rPr>
      <t>φ</t>
    </r>
    <r>
      <rPr>
        <vertAlign val="subscript"/>
        <sz val="10"/>
        <rFont val="Arial"/>
        <family val="2"/>
      </rPr>
      <t>V</t>
    </r>
    <r>
      <rPr>
        <sz val="10"/>
        <rFont val="Arial"/>
        <family val="2"/>
      </rPr>
      <t>) =</t>
    </r>
  </si>
  <si>
    <t>Xmax&lt;2"</t>
  </si>
  <si>
    <t>Edge Line to Wall (ft.)</t>
  </si>
  <si>
    <t>yes</t>
  </si>
  <si>
    <t>use with lagging</t>
  </si>
  <si>
    <t>no</t>
  </si>
  <si>
    <t>Soil Type</t>
  </si>
  <si>
    <t>Lpile Soil Type</t>
  </si>
  <si>
    <t>Project:</t>
  </si>
  <si>
    <t>PID:</t>
  </si>
  <si>
    <t>New</t>
  </si>
  <si>
    <t>See Lpile soil spreadsheet</t>
  </si>
  <si>
    <t>BEL-250-4.49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</si>
</sst>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%"/>
    <numFmt numFmtId="168" formatCode="&quot;$&quot;#,##0.00"/>
    <numFmt numFmtId="169" formatCode="&quot;$&quot;#,##0"/>
  </numFmts>
  <fonts count="4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vertAlign val="subscript"/>
      <sz val="10"/>
      <color rgb="FF000000"/>
      <name val="Arial"/>
      <family val="2"/>
    </font>
    <font>
      <sz val="10"/>
      <color theme="5" tint="-0.249977111117893"/>
      <name val="Arial"/>
      <family val="2"/>
    </font>
    <font>
      <sz val="10"/>
      <color theme="5" tint="-0.249977111117893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u/>
      <sz val="10"/>
      <color theme="1"/>
      <name val="Arial Narrow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rgb="FF0070C0"/>
      <name val="Arial"/>
      <family val="2"/>
    </font>
    <font>
      <sz val="10"/>
      <color rgb="FF0070C0"/>
      <name val="Arial Narrow"/>
      <family val="2"/>
    </font>
    <font>
      <b/>
      <u/>
      <sz val="10"/>
      <name val="Arial"/>
      <family val="2"/>
    </font>
    <font>
      <sz val="10"/>
      <color indexed="12"/>
      <name val="Arial"/>
      <family val="2"/>
    </font>
    <font>
      <sz val="10"/>
      <name val="Arial Narrow"/>
      <family val="2"/>
    </font>
    <font>
      <sz val="10"/>
      <color indexed="16"/>
      <name val="Arial"/>
      <family val="2"/>
    </font>
    <font>
      <vertAlign val="subscript"/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0"/>
      <name val="Arial Narrow"/>
      <family val="2"/>
    </font>
    <font>
      <b/>
      <u/>
      <sz val="12"/>
      <color theme="1"/>
      <name val="Arial"/>
      <family val="2"/>
    </font>
    <font>
      <b/>
      <sz val="10"/>
      <color indexed="9"/>
      <name val="Arial"/>
      <family val="2"/>
    </font>
    <font>
      <vertAlign val="subscript"/>
      <sz val="10"/>
      <color theme="1"/>
      <name val="Calibri"/>
      <family val="2"/>
      <scheme val="minor"/>
    </font>
    <font>
      <vertAlign val="subscript"/>
      <sz val="10"/>
      <color indexed="8"/>
      <name val="Calibri"/>
      <family val="2"/>
    </font>
    <font>
      <sz val="10"/>
      <color indexed="8"/>
      <name val="Arial"/>
      <family val="2"/>
    </font>
    <font>
      <vertAlign val="subscript"/>
      <sz val="10"/>
      <color theme="1"/>
      <name val="Arial"/>
      <family val="2"/>
    </font>
    <font>
      <vertAlign val="subscript"/>
      <sz val="10"/>
      <color rgb="FF000000"/>
      <name val="Arial Narrow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</font>
    <font>
      <sz val="12"/>
      <name val="Calibri"/>
      <family val="2"/>
    </font>
    <font>
      <sz val="10"/>
      <color rgb="FFC00000"/>
      <name val="Arial"/>
      <family val="2"/>
    </font>
    <font>
      <sz val="10"/>
      <color theme="0"/>
      <name val="Arial"/>
      <family val="2"/>
    </font>
    <font>
      <sz val="10"/>
      <color rgb="FFC00000"/>
      <name val="Arial Narrow"/>
      <family val="2"/>
    </font>
    <font>
      <b/>
      <sz val="10"/>
      <color rgb="FF0070C0"/>
      <name val="Arial Narrow"/>
      <family val="2"/>
    </font>
    <font>
      <sz val="10"/>
      <color rgb="FFFF0000"/>
      <name val="Arial"/>
      <family val="2"/>
    </font>
    <font>
      <sz val="10"/>
      <color theme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7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5" fillId="0" borderId="0" xfId="0" applyFon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6" fillId="0" borderId="0" xfId="0" applyFont="1"/>
    <xf numFmtId="0" fontId="5" fillId="0" borderId="6" xfId="0" applyFont="1" applyBorder="1"/>
    <xf numFmtId="0" fontId="5" fillId="0" borderId="0" xfId="0" applyFont="1" applyBorder="1"/>
    <xf numFmtId="164" fontId="5" fillId="0" borderId="6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center"/>
    </xf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5" fillId="0" borderId="22" xfId="0" applyFont="1" applyBorder="1"/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" fontId="3" fillId="0" borderId="0" xfId="0" applyNumberFormat="1" applyFont="1"/>
    <xf numFmtId="164" fontId="14" fillId="0" borderId="29" xfId="0" applyNumberFormat="1" applyFont="1" applyBorder="1" applyAlignment="1">
      <alignment horizontal="left"/>
    </xf>
    <xf numFmtId="164" fontId="14" fillId="0" borderId="30" xfId="0" applyNumberFormat="1" applyFont="1" applyBorder="1" applyAlignment="1">
      <alignment horizontal="left"/>
    </xf>
    <xf numFmtId="0" fontId="7" fillId="0" borderId="32" xfId="0" applyFont="1" applyFill="1" applyBorder="1"/>
    <xf numFmtId="0" fontId="7" fillId="0" borderId="33" xfId="0" applyFont="1" applyFill="1" applyBorder="1"/>
    <xf numFmtId="164" fontId="7" fillId="0" borderId="32" xfId="0" applyNumberFormat="1" applyFont="1" applyFill="1" applyBorder="1" applyAlignment="1">
      <alignment horizontal="left"/>
    </xf>
    <xf numFmtId="0" fontId="7" fillId="0" borderId="32" xfId="0" applyFont="1" applyBorder="1"/>
    <xf numFmtId="0" fontId="7" fillId="3" borderId="32" xfId="0" applyFont="1" applyFill="1" applyBorder="1"/>
    <xf numFmtId="0" fontId="14" fillId="0" borderId="1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0" fontId="7" fillId="0" borderId="40" xfId="0" applyFont="1" applyFill="1" applyBorder="1"/>
    <xf numFmtId="164" fontId="7" fillId="0" borderId="40" xfId="0" applyNumberFormat="1" applyFont="1" applyFill="1" applyBorder="1" applyAlignment="1">
      <alignment horizontal="left"/>
    </xf>
    <xf numFmtId="0" fontId="7" fillId="0" borderId="40" xfId="0" applyFont="1" applyBorder="1"/>
    <xf numFmtId="0" fontId="0" fillId="0" borderId="30" xfId="0" applyBorder="1"/>
    <xf numFmtId="0" fontId="0" fillId="0" borderId="42" xfId="0" applyBorder="1" applyAlignment="1">
      <alignment horizontal="center"/>
    </xf>
    <xf numFmtId="0" fontId="14" fillId="0" borderId="42" xfId="0" applyFont="1" applyBorder="1" applyAlignment="1">
      <alignment horizontal="center"/>
    </xf>
    <xf numFmtId="0" fontId="7" fillId="0" borderId="45" xfId="0" applyFont="1" applyBorder="1"/>
    <xf numFmtId="0" fontId="15" fillId="0" borderId="29" xfId="0" applyFont="1" applyBorder="1"/>
    <xf numFmtId="0" fontId="4" fillId="0" borderId="17" xfId="0" applyFont="1" applyBorder="1"/>
    <xf numFmtId="0" fontId="4" fillId="0" borderId="39" xfId="0" applyFont="1" applyBorder="1" applyAlignment="1">
      <alignment horizontal="center"/>
    </xf>
    <xf numFmtId="0" fontId="0" fillId="0" borderId="28" xfId="0" applyBorder="1"/>
    <xf numFmtId="0" fontId="4" fillId="0" borderId="39" xfId="0" applyFont="1" applyBorder="1"/>
    <xf numFmtId="0" fontId="0" fillId="0" borderId="42" xfId="0" applyBorder="1"/>
    <xf numFmtId="0" fontId="7" fillId="0" borderId="30" xfId="0" applyFont="1" applyFill="1" applyBorder="1"/>
    <xf numFmtId="0" fontId="0" fillId="0" borderId="28" xfId="0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14" fillId="4" borderId="17" xfId="0" applyFont="1" applyFill="1" applyBorder="1" applyAlignment="1">
      <alignment horizontal="center"/>
    </xf>
    <xf numFmtId="0" fontId="14" fillId="4" borderId="28" xfId="0" applyFont="1" applyFill="1" applyBorder="1" applyAlignment="1">
      <alignment horizontal="center"/>
    </xf>
    <xf numFmtId="0" fontId="7" fillId="4" borderId="30" xfId="0" applyFont="1" applyFill="1" applyBorder="1"/>
    <xf numFmtId="0" fontId="4" fillId="4" borderId="17" xfId="0" applyFont="1" applyFill="1" applyBorder="1"/>
    <xf numFmtId="164" fontId="14" fillId="0" borderId="17" xfId="0" applyNumberFormat="1" applyFont="1" applyBorder="1" applyAlignment="1">
      <alignment horizontal="center"/>
    </xf>
    <xf numFmtId="164" fontId="14" fillId="0" borderId="28" xfId="0" applyNumberFormat="1" applyFont="1" applyBorder="1" applyAlignment="1">
      <alignment horizontal="center"/>
    </xf>
    <xf numFmtId="165" fontId="14" fillId="0" borderId="17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164" fontId="3" fillId="0" borderId="0" xfId="0" applyNumberFormat="1" applyFont="1"/>
    <xf numFmtId="165" fontId="5" fillId="0" borderId="46" xfId="0" applyNumberFormat="1" applyFont="1" applyBorder="1" applyAlignment="1">
      <alignment horizontal="center"/>
    </xf>
    <xf numFmtId="165" fontId="5" fillId="0" borderId="41" xfId="0" applyNumberFormat="1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16" fillId="0" borderId="15" xfId="0" applyFont="1" applyBorder="1" applyAlignment="1">
      <alignment horizontal="left"/>
    </xf>
    <xf numFmtId="0" fontId="17" fillId="0" borderId="51" xfId="0" applyNumberFormat="1" applyFont="1" applyBorder="1" applyAlignment="1">
      <alignment horizontal="center"/>
    </xf>
    <xf numFmtId="0" fontId="16" fillId="0" borderId="52" xfId="0" applyNumberFormat="1" applyFont="1" applyBorder="1" applyAlignment="1">
      <alignment horizontal="left"/>
    </xf>
    <xf numFmtId="0" fontId="17" fillId="0" borderId="16" xfId="0" applyFont="1" applyBorder="1" applyAlignment="1">
      <alignment horizontal="center"/>
    </xf>
    <xf numFmtId="3" fontId="18" fillId="0" borderId="51" xfId="0" applyNumberFormat="1" applyFont="1" applyBorder="1" applyAlignment="1">
      <alignment horizontal="center"/>
    </xf>
    <xf numFmtId="165" fontId="17" fillId="0" borderId="18" xfId="0" applyNumberFormat="1" applyFont="1" applyBorder="1" applyAlignment="1">
      <alignment horizontal="center"/>
    </xf>
    <xf numFmtId="0" fontId="16" fillId="0" borderId="15" xfId="0" applyFont="1" applyBorder="1"/>
    <xf numFmtId="0" fontId="5" fillId="0" borderId="46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164" fontId="19" fillId="0" borderId="31" xfId="0" applyNumberFormat="1" applyFont="1" applyBorder="1" applyAlignment="1">
      <alignment horizontal="left"/>
    </xf>
    <xf numFmtId="0" fontId="7" fillId="0" borderId="35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164" fontId="19" fillId="0" borderId="35" xfId="0" applyNumberFormat="1" applyFont="1" applyBorder="1" applyAlignment="1">
      <alignment horizontal="center"/>
    </xf>
    <xf numFmtId="165" fontId="19" fillId="0" borderId="35" xfId="0" applyNumberFormat="1" applyFont="1" applyBorder="1" applyAlignment="1">
      <alignment horizontal="center"/>
    </xf>
    <xf numFmtId="0" fontId="19" fillId="0" borderId="47" xfId="0" applyFont="1" applyBorder="1" applyAlignment="1">
      <alignment horizontal="center"/>
    </xf>
    <xf numFmtId="0" fontId="19" fillId="4" borderId="17" xfId="0" applyFont="1" applyFill="1" applyBorder="1" applyAlignment="1">
      <alignment horizontal="center"/>
    </xf>
    <xf numFmtId="164" fontId="19" fillId="0" borderId="29" xfId="0" applyNumberFormat="1" applyFont="1" applyBorder="1" applyAlignment="1">
      <alignment horizontal="left"/>
    </xf>
    <xf numFmtId="2" fontId="7" fillId="0" borderId="17" xfId="0" applyNumberFormat="1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4" borderId="29" xfId="0" applyFont="1" applyFill="1" applyBorder="1" applyAlignment="1">
      <alignment horizontal="center"/>
    </xf>
    <xf numFmtId="0" fontId="19" fillId="0" borderId="39" xfId="0" applyFont="1" applyBorder="1" applyAlignment="1">
      <alignment horizontal="center"/>
    </xf>
    <xf numFmtId="164" fontId="19" fillId="0" borderId="32" xfId="0" applyNumberFormat="1" applyFont="1" applyBorder="1" applyAlignment="1">
      <alignment horizontal="left"/>
    </xf>
    <xf numFmtId="0" fontId="7" fillId="0" borderId="36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164" fontId="19" fillId="0" borderId="36" xfId="0" applyNumberFormat="1" applyFont="1" applyBorder="1" applyAlignment="1">
      <alignment horizontal="center"/>
    </xf>
    <xf numFmtId="165" fontId="19" fillId="0" borderId="36" xfId="0" applyNumberFormat="1" applyFont="1" applyBorder="1" applyAlignment="1">
      <alignment horizontal="center"/>
    </xf>
    <xf numFmtId="0" fontId="19" fillId="0" borderId="48" xfId="0" applyFont="1" applyBorder="1" applyAlignment="1">
      <alignment horizontal="center"/>
    </xf>
    <xf numFmtId="0" fontId="19" fillId="4" borderId="0" xfId="0" applyFont="1" applyFill="1" applyBorder="1" applyAlignment="1">
      <alignment horizontal="center"/>
    </xf>
    <xf numFmtId="164" fontId="19" fillId="0" borderId="40" xfId="0" applyNumberFormat="1" applyFont="1" applyBorder="1" applyAlignment="1">
      <alignment horizontal="left"/>
    </xf>
    <xf numFmtId="2" fontId="7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4" borderId="40" xfId="0" applyFont="1" applyFill="1" applyBorder="1" applyAlignment="1">
      <alignment horizontal="center"/>
    </xf>
    <xf numFmtId="0" fontId="19" fillId="0" borderId="41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19" fillId="0" borderId="33" xfId="0" applyNumberFormat="1" applyFont="1" applyBorder="1" applyAlignment="1">
      <alignment horizontal="left"/>
    </xf>
    <xf numFmtId="0" fontId="7" fillId="0" borderId="37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164" fontId="19" fillId="0" borderId="37" xfId="0" applyNumberFormat="1" applyFont="1" applyBorder="1" applyAlignment="1">
      <alignment horizontal="center"/>
    </xf>
    <xf numFmtId="165" fontId="19" fillId="0" borderId="37" xfId="0" applyNumberFormat="1" applyFont="1" applyBorder="1" applyAlignment="1">
      <alignment horizontal="center"/>
    </xf>
    <xf numFmtId="0" fontId="19" fillId="0" borderId="49" xfId="0" applyFont="1" applyBorder="1" applyAlignment="1">
      <alignment horizontal="center"/>
    </xf>
    <xf numFmtId="164" fontId="19" fillId="0" borderId="34" xfId="0" applyNumberFormat="1" applyFont="1" applyBorder="1" applyAlignment="1">
      <alignment horizontal="left"/>
    </xf>
    <xf numFmtId="2" fontId="7" fillId="0" borderId="38" xfId="0" applyNumberFormat="1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2" fontId="19" fillId="0" borderId="38" xfId="0" applyNumberFormat="1" applyFont="1" applyBorder="1" applyAlignment="1">
      <alignment horizontal="center"/>
    </xf>
    <xf numFmtId="165" fontId="19" fillId="0" borderId="38" xfId="0" applyNumberFormat="1" applyFont="1" applyBorder="1" applyAlignment="1">
      <alignment horizontal="center"/>
    </xf>
    <xf numFmtId="0" fontId="19" fillId="0" borderId="50" xfId="0" applyFont="1" applyBorder="1" applyAlignment="1">
      <alignment horizontal="center"/>
    </xf>
    <xf numFmtId="2" fontId="7" fillId="0" borderId="35" xfId="0" applyNumberFormat="1" applyFont="1" applyBorder="1" applyAlignment="1">
      <alignment horizontal="center"/>
    </xf>
    <xf numFmtId="2" fontId="19" fillId="0" borderId="35" xfId="0" applyNumberFormat="1" applyFont="1" applyBorder="1" applyAlignment="1">
      <alignment horizontal="center"/>
    </xf>
    <xf numFmtId="164" fontId="7" fillId="0" borderId="37" xfId="0" applyNumberFormat="1" applyFont="1" applyBorder="1" applyAlignment="1">
      <alignment horizontal="center"/>
    </xf>
    <xf numFmtId="2" fontId="19" fillId="0" borderId="37" xfId="0" applyNumberFormat="1" applyFont="1" applyBorder="1" applyAlignment="1">
      <alignment horizontal="center"/>
    </xf>
    <xf numFmtId="2" fontId="7" fillId="0" borderId="36" xfId="0" applyNumberFormat="1" applyFont="1" applyBorder="1" applyAlignment="1">
      <alignment horizontal="center"/>
    </xf>
    <xf numFmtId="2" fontId="19" fillId="0" borderId="36" xfId="0" applyNumberFormat="1" applyFont="1" applyBorder="1" applyAlignment="1">
      <alignment horizontal="center"/>
    </xf>
    <xf numFmtId="164" fontId="7" fillId="0" borderId="36" xfId="0" applyNumberFormat="1" applyFont="1" applyBorder="1" applyAlignment="1">
      <alignment horizontal="center"/>
    </xf>
    <xf numFmtId="164" fontId="19" fillId="0" borderId="30" xfId="0" applyNumberFormat="1" applyFont="1" applyBorder="1" applyAlignment="1">
      <alignment horizontal="left"/>
    </xf>
    <xf numFmtId="164" fontId="7" fillId="0" borderId="28" xfId="0" applyNumberFormat="1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4" borderId="28" xfId="0" applyFont="1" applyFill="1" applyBorder="1" applyAlignment="1">
      <alignment horizontal="center"/>
    </xf>
    <xf numFmtId="164" fontId="19" fillId="4" borderId="30" xfId="0" applyNumberFormat="1" applyFont="1" applyFill="1" applyBorder="1" applyAlignment="1">
      <alignment horizontal="left"/>
    </xf>
    <xf numFmtId="0" fontId="19" fillId="4" borderId="28" xfId="0" applyFont="1" applyFill="1" applyBorder="1"/>
    <xf numFmtId="0" fontId="19" fillId="4" borderId="40" xfId="0" applyFont="1" applyFill="1" applyBorder="1"/>
    <xf numFmtId="0" fontId="19" fillId="0" borderId="0" xfId="0" applyFont="1"/>
    <xf numFmtId="164" fontId="7" fillId="0" borderId="35" xfId="0" applyNumberFormat="1" applyFont="1" applyBorder="1" applyAlignment="1">
      <alignment horizontal="center"/>
    </xf>
    <xf numFmtId="1" fontId="7" fillId="0" borderId="36" xfId="0" applyNumberFormat="1" applyFont="1" applyBorder="1" applyAlignment="1">
      <alignment horizontal="center"/>
    </xf>
    <xf numFmtId="1" fontId="7" fillId="0" borderId="37" xfId="0" applyNumberFormat="1" applyFont="1" applyBorder="1" applyAlignment="1">
      <alignment horizontal="center"/>
    </xf>
    <xf numFmtId="164" fontId="19" fillId="0" borderId="4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41" xfId="0" applyFont="1" applyFill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28" xfId="0" applyNumberFormat="1" applyFont="1" applyBorder="1" applyAlignment="1">
      <alignment horizontal="center"/>
    </xf>
    <xf numFmtId="0" fontId="19" fillId="4" borderId="30" xfId="0" applyFont="1" applyFill="1" applyBorder="1"/>
    <xf numFmtId="0" fontId="19" fillId="0" borderId="0" xfId="0" applyFont="1" applyBorder="1"/>
    <xf numFmtId="0" fontId="19" fillId="0" borderId="40" xfId="0" applyFont="1" applyBorder="1"/>
    <xf numFmtId="0" fontId="7" fillId="0" borderId="28" xfId="0" applyFont="1" applyBorder="1" applyAlignment="1">
      <alignment horizontal="center"/>
    </xf>
    <xf numFmtId="164" fontId="19" fillId="0" borderId="31" xfId="0" applyNumberFormat="1" applyFont="1" applyFill="1" applyBorder="1" applyAlignment="1">
      <alignment horizontal="left"/>
    </xf>
    <xf numFmtId="0" fontId="7" fillId="0" borderId="35" xfId="0" applyFont="1" applyFill="1" applyBorder="1" applyAlignment="1">
      <alignment horizontal="center"/>
    </xf>
    <xf numFmtId="0" fontId="19" fillId="0" borderId="35" xfId="0" applyFont="1" applyFill="1" applyBorder="1" applyAlignment="1">
      <alignment horizontal="center"/>
    </xf>
    <xf numFmtId="165" fontId="19" fillId="0" borderId="35" xfId="0" applyNumberFormat="1" applyFont="1" applyFill="1" applyBorder="1" applyAlignment="1">
      <alignment horizontal="center"/>
    </xf>
    <xf numFmtId="0" fontId="19" fillId="0" borderId="47" xfId="0" applyFont="1" applyFill="1" applyBorder="1" applyAlignment="1">
      <alignment horizontal="center"/>
    </xf>
    <xf numFmtId="164" fontId="19" fillId="0" borderId="32" xfId="0" applyNumberFormat="1" applyFont="1" applyFill="1" applyBorder="1" applyAlignment="1">
      <alignment horizontal="left"/>
    </xf>
    <xf numFmtId="0" fontId="7" fillId="0" borderId="36" xfId="0" applyFont="1" applyFill="1" applyBorder="1" applyAlignment="1">
      <alignment horizontal="center"/>
    </xf>
    <xf numFmtId="0" fontId="19" fillId="0" borderId="36" xfId="0" applyFont="1" applyFill="1" applyBorder="1" applyAlignment="1">
      <alignment horizontal="center"/>
    </xf>
    <xf numFmtId="165" fontId="19" fillId="0" borderId="36" xfId="0" applyNumberFormat="1" applyFont="1" applyFill="1" applyBorder="1" applyAlignment="1">
      <alignment horizontal="center"/>
    </xf>
    <xf numFmtId="0" fontId="19" fillId="0" borderId="48" xfId="0" applyFont="1" applyFill="1" applyBorder="1" applyAlignment="1">
      <alignment horizontal="center"/>
    </xf>
    <xf numFmtId="164" fontId="19" fillId="0" borderId="36" xfId="0" applyNumberFormat="1" applyFont="1" applyFill="1" applyBorder="1" applyAlignment="1">
      <alignment horizontal="center"/>
    </xf>
    <xf numFmtId="164" fontId="19" fillId="0" borderId="33" xfId="0" applyNumberFormat="1" applyFont="1" applyFill="1" applyBorder="1" applyAlignment="1">
      <alignment horizontal="left"/>
    </xf>
    <xf numFmtId="0" fontId="7" fillId="0" borderId="37" xfId="0" applyFont="1" applyFill="1" applyBorder="1" applyAlignment="1">
      <alignment horizontal="center"/>
    </xf>
    <xf numFmtId="0" fontId="19" fillId="0" borderId="37" xfId="0" applyFont="1" applyFill="1" applyBorder="1" applyAlignment="1">
      <alignment horizontal="center"/>
    </xf>
    <xf numFmtId="164" fontId="19" fillId="0" borderId="37" xfId="0" applyNumberFormat="1" applyFont="1" applyFill="1" applyBorder="1" applyAlignment="1">
      <alignment horizontal="center"/>
    </xf>
    <xf numFmtId="165" fontId="19" fillId="0" borderId="37" xfId="0" applyNumberFormat="1" applyFont="1" applyFill="1" applyBorder="1" applyAlignment="1">
      <alignment horizontal="center"/>
    </xf>
    <xf numFmtId="0" fontId="19" fillId="0" borderId="49" xfId="0" applyFont="1" applyFill="1" applyBorder="1" applyAlignment="1">
      <alignment horizontal="center"/>
    </xf>
    <xf numFmtId="164" fontId="19" fillId="0" borderId="35" xfId="0" applyNumberFormat="1" applyFont="1" applyFill="1" applyBorder="1" applyAlignment="1">
      <alignment horizontal="center"/>
    </xf>
    <xf numFmtId="0" fontId="19" fillId="0" borderId="40" xfId="0" applyFont="1" applyFill="1" applyBorder="1"/>
    <xf numFmtId="0" fontId="19" fillId="0" borderId="30" xfId="0" applyFont="1" applyBorder="1"/>
    <xf numFmtId="0" fontId="19" fillId="0" borderId="32" xfId="0" applyFont="1" applyFill="1" applyBorder="1"/>
    <xf numFmtId="0" fontId="19" fillId="0" borderId="33" xfId="0" applyFont="1" applyBorder="1"/>
    <xf numFmtId="0" fontId="19" fillId="0" borderId="31" xfId="0" applyFont="1" applyBorder="1"/>
    <xf numFmtId="0" fontId="19" fillId="0" borderId="32" xfId="0" applyFont="1" applyBorder="1"/>
    <xf numFmtId="164" fontId="7" fillId="3" borderId="32" xfId="0" applyNumberFormat="1" applyFont="1" applyFill="1" applyBorder="1" applyAlignment="1">
      <alignment horizontal="left"/>
    </xf>
    <xf numFmtId="0" fontId="7" fillId="3" borderId="36" xfId="0" applyFont="1" applyFill="1" applyBorder="1" applyAlignment="1">
      <alignment horizontal="center"/>
    </xf>
    <xf numFmtId="164" fontId="19" fillId="3" borderId="32" xfId="0" applyNumberFormat="1" applyFont="1" applyFill="1" applyBorder="1" applyAlignment="1">
      <alignment horizontal="left"/>
    </xf>
    <xf numFmtId="0" fontId="19" fillId="0" borderId="43" xfId="0" applyFont="1" applyBorder="1"/>
    <xf numFmtId="0" fontId="7" fillId="0" borderId="27" xfId="0" applyFont="1" applyFill="1" applyBorder="1" applyAlignment="1">
      <alignment horizontal="center"/>
    </xf>
    <xf numFmtId="0" fontId="19" fillId="4" borderId="42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19" fillId="0" borderId="42" xfId="0" applyFont="1" applyBorder="1" applyAlignment="1">
      <alignment horizontal="center"/>
    </xf>
    <xf numFmtId="167" fontId="3" fillId="0" borderId="0" xfId="0" applyNumberFormat="1" applyFont="1"/>
    <xf numFmtId="167" fontId="5" fillId="0" borderId="4" xfId="0" applyNumberFormat="1" applyFont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58" xfId="0" applyFont="1" applyBorder="1" applyAlignment="1">
      <alignment horizontal="center"/>
    </xf>
    <xf numFmtId="2" fontId="5" fillId="0" borderId="17" xfId="0" applyNumberFormat="1" applyFont="1" applyBorder="1" applyAlignment="1">
      <alignment horizontal="center"/>
    </xf>
    <xf numFmtId="168" fontId="5" fillId="0" borderId="17" xfId="0" applyNumberFormat="1" applyFont="1" applyBorder="1" applyAlignment="1">
      <alignment horizontal="center"/>
    </xf>
    <xf numFmtId="49" fontId="14" fillId="0" borderId="6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center"/>
    </xf>
    <xf numFmtId="49" fontId="14" fillId="0" borderId="27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5" fillId="0" borderId="27" xfId="0" applyNumberFormat="1" applyFont="1" applyBorder="1" applyAlignment="1">
      <alignment horizontal="center"/>
    </xf>
    <xf numFmtId="168" fontId="5" fillId="0" borderId="27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68" fontId="0" fillId="0" borderId="6" xfId="0" applyNumberFormat="1" applyFill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0" fillId="0" borderId="6" xfId="0" applyNumberFormat="1" applyBorder="1" applyAlignment="1">
      <alignment horizontal="center"/>
    </xf>
    <xf numFmtId="0" fontId="7" fillId="0" borderId="27" xfId="0" applyNumberFormat="1" applyFont="1" applyBorder="1" applyAlignment="1">
      <alignment horizontal="center"/>
    </xf>
    <xf numFmtId="164" fontId="7" fillId="0" borderId="27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168" fontId="0" fillId="0" borderId="27" xfId="0" applyNumberFormat="1" applyBorder="1" applyAlignment="1">
      <alignment horizontal="center"/>
    </xf>
    <xf numFmtId="0" fontId="20" fillId="0" borderId="29" xfId="0" applyFont="1" applyBorder="1"/>
    <xf numFmtId="49" fontId="0" fillId="0" borderId="1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Border="1"/>
    <xf numFmtId="0" fontId="0" fillId="0" borderId="39" xfId="0" applyBorder="1"/>
    <xf numFmtId="49" fontId="7" fillId="0" borderId="0" xfId="0" applyNumberFormat="1" applyFont="1" applyBorder="1" applyAlignment="1">
      <alignment horizontal="center"/>
    </xf>
    <xf numFmtId="168" fontId="5" fillId="0" borderId="39" xfId="0" applyNumberFormat="1" applyFont="1" applyBorder="1" applyAlignment="1">
      <alignment horizontal="center"/>
    </xf>
    <xf numFmtId="0" fontId="14" fillId="0" borderId="45" xfId="0" applyFont="1" applyBorder="1"/>
    <xf numFmtId="168" fontId="5" fillId="0" borderId="41" xfId="0" applyNumberFormat="1" applyFont="1" applyBorder="1" applyAlignment="1">
      <alignment horizontal="center"/>
    </xf>
    <xf numFmtId="0" fontId="14" fillId="0" borderId="43" xfId="0" applyFont="1" applyBorder="1"/>
    <xf numFmtId="0" fontId="5" fillId="0" borderId="44" xfId="0" applyFont="1" applyBorder="1" applyAlignment="1">
      <alignment horizontal="center"/>
    </xf>
    <xf numFmtId="168" fontId="0" fillId="0" borderId="46" xfId="0" applyNumberFormat="1" applyFill="1" applyBorder="1" applyAlignment="1">
      <alignment horizontal="center"/>
    </xf>
    <xf numFmtId="168" fontId="0" fillId="0" borderId="41" xfId="0" applyNumberFormat="1" applyBorder="1" applyAlignment="1">
      <alignment horizontal="center"/>
    </xf>
    <xf numFmtId="168" fontId="0" fillId="0" borderId="46" xfId="0" applyNumberFormat="1" applyBorder="1" applyAlignment="1">
      <alignment horizontal="center"/>
    </xf>
    <xf numFmtId="0" fontId="7" fillId="0" borderId="43" xfId="0" applyFont="1" applyBorder="1"/>
    <xf numFmtId="168" fontId="0" fillId="0" borderId="44" xfId="0" applyNumberFormat="1" applyBorder="1" applyAlignment="1">
      <alignment horizontal="center"/>
    </xf>
    <xf numFmtId="0" fontId="7" fillId="0" borderId="28" xfId="0" applyNumberFormat="1" applyFont="1" applyBorder="1" applyAlignment="1">
      <alignment horizontal="center"/>
    </xf>
    <xf numFmtId="2" fontId="7" fillId="0" borderId="60" xfId="0" applyNumberFormat="1" applyFont="1" applyBorder="1" applyAlignment="1">
      <alignment horizontal="center"/>
    </xf>
    <xf numFmtId="2" fontId="0" fillId="0" borderId="28" xfId="0" applyNumberFormat="1" applyFill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0" fillId="0" borderId="60" xfId="0" applyNumberFormat="1" applyBorder="1" applyAlignment="1">
      <alignment horizontal="center"/>
    </xf>
    <xf numFmtId="2" fontId="0" fillId="0" borderId="59" xfId="0" applyNumberFormat="1" applyFill="1" applyBorder="1" applyAlignment="1">
      <alignment horizontal="center"/>
    </xf>
    <xf numFmtId="168" fontId="0" fillId="0" borderId="28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0" fontId="14" fillId="0" borderId="15" xfId="0" applyFont="1" applyBorder="1"/>
    <xf numFmtId="0" fontId="7" fillId="0" borderId="18" xfId="0" applyFont="1" applyBorder="1"/>
    <xf numFmtId="0" fontId="14" fillId="0" borderId="45" xfId="0" applyFont="1" applyBorder="1" applyAlignment="1">
      <alignment horizontal="center"/>
    </xf>
    <xf numFmtId="0" fontId="14" fillId="0" borderId="46" xfId="0" applyFont="1" applyBorder="1" applyAlignment="1">
      <alignment horizontal="center"/>
    </xf>
    <xf numFmtId="0" fontId="14" fillId="0" borderId="43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169" fontId="7" fillId="0" borderId="45" xfId="0" applyNumberFormat="1" applyFont="1" applyBorder="1" applyAlignment="1">
      <alignment horizontal="center"/>
    </xf>
    <xf numFmtId="169" fontId="7" fillId="0" borderId="46" xfId="0" applyNumberFormat="1" applyFont="1" applyBorder="1" applyAlignment="1">
      <alignment horizontal="center"/>
    </xf>
    <xf numFmtId="169" fontId="7" fillId="0" borderId="40" xfId="0" applyNumberFormat="1" applyFont="1" applyBorder="1" applyAlignment="1">
      <alignment horizontal="center"/>
    </xf>
    <xf numFmtId="169" fontId="7" fillId="0" borderId="41" xfId="0" applyNumberFormat="1" applyFont="1" applyBorder="1" applyAlignment="1">
      <alignment horizontal="center"/>
    </xf>
    <xf numFmtId="169" fontId="7" fillId="0" borderId="43" xfId="0" applyNumberFormat="1" applyFont="1" applyBorder="1" applyAlignment="1">
      <alignment horizontal="center"/>
    </xf>
    <xf numFmtId="169" fontId="7" fillId="0" borderId="44" xfId="0" applyNumberFormat="1" applyFont="1" applyBorder="1" applyAlignment="1">
      <alignment horizontal="center"/>
    </xf>
    <xf numFmtId="169" fontId="7" fillId="0" borderId="30" xfId="0" applyNumberFormat="1" applyFont="1" applyBorder="1" applyAlignment="1">
      <alignment horizontal="center"/>
    </xf>
    <xf numFmtId="169" fontId="7" fillId="0" borderId="42" xfId="0" applyNumberFormat="1" applyFont="1" applyBorder="1" applyAlignment="1">
      <alignment horizontal="center"/>
    </xf>
    <xf numFmtId="168" fontId="5" fillId="0" borderId="0" xfId="0" applyNumberFormat="1" applyFont="1" applyFill="1" applyBorder="1" applyAlignment="1">
      <alignment horizontal="center"/>
    </xf>
    <xf numFmtId="169" fontId="0" fillId="0" borderId="0" xfId="0" applyNumberFormat="1" applyAlignment="1">
      <alignment horizontal="center"/>
    </xf>
    <xf numFmtId="0" fontId="2" fillId="0" borderId="0" xfId="0" applyFont="1"/>
    <xf numFmtId="0" fontId="21" fillId="0" borderId="0" xfId="0" applyFont="1"/>
    <xf numFmtId="0" fontId="11" fillId="0" borderId="53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168" fontId="5" fillId="0" borderId="45" xfId="0" applyNumberFormat="1" applyFont="1" applyFill="1" applyBorder="1" applyAlignment="1">
      <alignment horizontal="center"/>
    </xf>
    <xf numFmtId="168" fontId="5" fillId="0" borderId="6" xfId="0" applyNumberFormat="1" applyFont="1" applyFill="1" applyBorder="1" applyAlignment="1">
      <alignment horizontal="center"/>
    </xf>
    <xf numFmtId="168" fontId="5" fillId="0" borderId="40" xfId="0" applyNumberFormat="1" applyFont="1" applyFill="1" applyBorder="1" applyAlignment="1">
      <alignment horizontal="center"/>
    </xf>
    <xf numFmtId="168" fontId="21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11" fillId="0" borderId="53" xfId="0" applyNumberFormat="1" applyFont="1" applyBorder="1" applyAlignment="1">
      <alignment horizontal="right"/>
    </xf>
    <xf numFmtId="168" fontId="11" fillId="0" borderId="18" xfId="0" applyNumberFormat="1" applyFont="1" applyBorder="1" applyAlignment="1">
      <alignment horizontal="right"/>
    </xf>
    <xf numFmtId="168" fontId="5" fillId="0" borderId="6" xfId="0" applyNumberFormat="1" applyFont="1" applyBorder="1" applyAlignment="1">
      <alignment horizontal="center"/>
    </xf>
    <xf numFmtId="168" fontId="11" fillId="0" borderId="11" xfId="0" applyNumberFormat="1" applyFont="1" applyBorder="1" applyAlignment="1">
      <alignment horizontal="right"/>
    </xf>
    <xf numFmtId="168" fontId="11" fillId="0" borderId="16" xfId="0" applyNumberFormat="1" applyFont="1" applyBorder="1" applyAlignment="1">
      <alignment horizontal="right"/>
    </xf>
    <xf numFmtId="168" fontId="11" fillId="0" borderId="54" xfId="0" applyNumberFormat="1" applyFont="1" applyBorder="1" applyAlignment="1">
      <alignment horizontal="right"/>
    </xf>
    <xf numFmtId="168" fontId="11" fillId="0" borderId="15" xfId="0" applyNumberFormat="1" applyFont="1" applyBorder="1" applyAlignment="1">
      <alignment horizontal="right"/>
    </xf>
    <xf numFmtId="0" fontId="11" fillId="0" borderId="11" xfId="0" applyFont="1" applyBorder="1"/>
    <xf numFmtId="0" fontId="11" fillId="0" borderId="16" xfId="0" applyFont="1" applyBorder="1"/>
    <xf numFmtId="168" fontId="13" fillId="0" borderId="15" xfId="0" applyNumberFormat="1" applyFont="1" applyBorder="1" applyAlignment="1">
      <alignment horizontal="left"/>
    </xf>
    <xf numFmtId="168" fontId="5" fillId="0" borderId="16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center"/>
    </xf>
    <xf numFmtId="168" fontId="13" fillId="0" borderId="62" xfId="0" applyNumberFormat="1" applyFont="1" applyBorder="1" applyAlignment="1">
      <alignment horizontal="left"/>
    </xf>
    <xf numFmtId="168" fontId="5" fillId="0" borderId="63" xfId="0" applyNumberFormat="1" applyFont="1" applyBorder="1" applyAlignment="1">
      <alignment horizontal="center"/>
    </xf>
    <xf numFmtId="168" fontId="5" fillId="0" borderId="64" xfId="0" applyNumberFormat="1" applyFont="1" applyBorder="1" applyAlignment="1">
      <alignment horizontal="center"/>
    </xf>
    <xf numFmtId="168" fontId="11" fillId="0" borderId="61" xfId="0" applyNumberFormat="1" applyFont="1" applyBorder="1" applyAlignment="1">
      <alignment horizontal="right"/>
    </xf>
    <xf numFmtId="168" fontId="11" fillId="0" borderId="62" xfId="0" applyNumberFormat="1" applyFont="1" applyBorder="1" applyAlignment="1">
      <alignment horizontal="right"/>
    </xf>
    <xf numFmtId="169" fontId="14" fillId="0" borderId="45" xfId="0" applyNumberFormat="1" applyFont="1" applyBorder="1" applyAlignment="1">
      <alignment horizontal="center"/>
    </xf>
    <xf numFmtId="169" fontId="14" fillId="0" borderId="46" xfId="0" applyNumberFormat="1" applyFont="1" applyBorder="1" applyAlignment="1">
      <alignment horizontal="center"/>
    </xf>
    <xf numFmtId="169" fontId="14" fillId="0" borderId="43" xfId="0" applyNumberFormat="1" applyFont="1" applyBorder="1" applyAlignment="1">
      <alignment horizontal="center"/>
    </xf>
    <xf numFmtId="169" fontId="14" fillId="0" borderId="44" xfId="0" applyNumberFormat="1" applyFont="1" applyBorder="1" applyAlignment="1">
      <alignment horizontal="center"/>
    </xf>
    <xf numFmtId="169" fontId="5" fillId="0" borderId="66" xfId="0" applyNumberFormat="1" applyFont="1" applyBorder="1" applyAlignment="1">
      <alignment horizontal="center"/>
    </xf>
    <xf numFmtId="169" fontId="5" fillId="0" borderId="64" xfId="0" applyNumberFormat="1" applyFont="1" applyBorder="1" applyAlignment="1">
      <alignment horizontal="center"/>
    </xf>
    <xf numFmtId="169" fontId="5" fillId="0" borderId="65" xfId="0" applyNumberFormat="1" applyFont="1" applyBorder="1" applyAlignment="1">
      <alignment horizontal="center"/>
    </xf>
    <xf numFmtId="169" fontId="0" fillId="0" borderId="17" xfId="0" applyNumberFormat="1" applyBorder="1" applyAlignment="1">
      <alignment horizontal="center"/>
    </xf>
    <xf numFmtId="169" fontId="14" fillId="0" borderId="15" xfId="0" applyNumberFormat="1" applyFont="1" applyBorder="1" applyAlignment="1">
      <alignment horizontal="center"/>
    </xf>
    <xf numFmtId="169" fontId="7" fillId="0" borderId="18" xfId="0" applyNumberFormat="1" applyFont="1" applyBorder="1" applyAlignment="1">
      <alignment horizontal="center"/>
    </xf>
    <xf numFmtId="169" fontId="2" fillId="0" borderId="67" xfId="0" applyNumberFormat="1" applyFont="1" applyBorder="1" applyAlignment="1">
      <alignment horizontal="center"/>
    </xf>
    <xf numFmtId="0" fontId="3" fillId="0" borderId="0" xfId="0" applyFont="1" applyBorder="1"/>
    <xf numFmtId="0" fontId="13" fillId="0" borderId="15" xfId="0" applyFont="1" applyBorder="1" applyAlignment="1">
      <alignment horizontal="left"/>
    </xf>
    <xf numFmtId="0" fontId="13" fillId="0" borderId="18" xfId="0" applyFont="1" applyBorder="1" applyAlignment="1">
      <alignment horizontal="center"/>
    </xf>
    <xf numFmtId="0" fontId="13" fillId="0" borderId="16" xfId="0" applyFont="1" applyBorder="1"/>
    <xf numFmtId="0" fontId="13" fillId="0" borderId="16" xfId="0" applyFont="1" applyBorder="1" applyAlignment="1">
      <alignment horizontal="center"/>
    </xf>
    <xf numFmtId="0" fontId="5" fillId="0" borderId="45" xfId="0" applyFont="1" applyBorder="1"/>
    <xf numFmtId="0" fontId="5" fillId="0" borderId="40" xfId="0" applyFont="1" applyBorder="1"/>
    <xf numFmtId="0" fontId="11" fillId="0" borderId="54" xfId="0" applyFont="1" applyBorder="1"/>
    <xf numFmtId="0" fontId="11" fillId="0" borderId="15" xfId="0" applyFont="1" applyBorder="1"/>
    <xf numFmtId="1" fontId="3" fillId="0" borderId="0" xfId="0" applyNumberFormat="1" applyFont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2" fontId="4" fillId="0" borderId="17" xfId="0" applyNumberFormat="1" applyFont="1" applyBorder="1" applyAlignment="1">
      <alignment horizontal="center"/>
    </xf>
    <xf numFmtId="2" fontId="14" fillId="0" borderId="39" xfId="0" applyNumberFormat="1" applyFont="1" applyBorder="1" applyAlignment="1">
      <alignment horizontal="center"/>
    </xf>
    <xf numFmtId="2" fontId="14" fillId="0" borderId="42" xfId="0" applyNumberFormat="1" applyFont="1" applyBorder="1" applyAlignment="1">
      <alignment horizontal="center"/>
    </xf>
    <xf numFmtId="2" fontId="19" fillId="0" borderId="47" xfId="0" applyNumberFormat="1" applyFont="1" applyBorder="1" applyAlignment="1">
      <alignment horizontal="center"/>
    </xf>
    <xf numFmtId="2" fontId="19" fillId="0" borderId="48" xfId="0" applyNumberFormat="1" applyFont="1" applyBorder="1" applyAlignment="1">
      <alignment horizontal="center"/>
    </xf>
    <xf numFmtId="2" fontId="19" fillId="0" borderId="49" xfId="0" applyNumberFormat="1" applyFont="1" applyBorder="1" applyAlignment="1">
      <alignment horizontal="center"/>
    </xf>
    <xf numFmtId="2" fontId="19" fillId="0" borderId="50" xfId="0" applyNumberFormat="1" applyFont="1" applyBorder="1" applyAlignment="1">
      <alignment horizontal="center"/>
    </xf>
    <xf numFmtId="2" fontId="19" fillId="0" borderId="47" xfId="0" applyNumberFormat="1" applyFont="1" applyFill="1" applyBorder="1" applyAlignment="1">
      <alignment horizontal="center"/>
    </xf>
    <xf numFmtId="2" fontId="19" fillId="0" borderId="48" xfId="0" applyNumberFormat="1" applyFont="1" applyFill="1" applyBorder="1" applyAlignment="1">
      <alignment horizontal="center"/>
    </xf>
    <xf numFmtId="2" fontId="19" fillId="0" borderId="49" xfId="0" applyNumberFormat="1" applyFont="1" applyFill="1" applyBorder="1" applyAlignment="1">
      <alignment horizontal="center"/>
    </xf>
    <xf numFmtId="2" fontId="19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9" fillId="4" borderId="0" xfId="0" applyFont="1" applyFill="1" applyBorder="1"/>
    <xf numFmtId="164" fontId="19" fillId="0" borderId="43" xfId="0" applyNumberFormat="1" applyFont="1" applyFill="1" applyBorder="1" applyAlignment="1">
      <alignment horizontal="left"/>
    </xf>
    <xf numFmtId="0" fontId="19" fillId="0" borderId="44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164" fontId="14" fillId="4" borderId="0" xfId="0" applyNumberFormat="1" applyFont="1" applyFill="1" applyBorder="1" applyAlignment="1">
      <alignment horizontal="center"/>
    </xf>
    <xf numFmtId="165" fontId="14" fillId="4" borderId="0" xfId="0" applyNumberFormat="1" applyFont="1" applyFill="1" applyBorder="1" applyAlignment="1">
      <alignment horizontal="center"/>
    </xf>
    <xf numFmtId="0" fontId="14" fillId="4" borderId="41" xfId="0" applyFont="1" applyFill="1" applyBorder="1" applyAlignment="1">
      <alignment horizontal="center"/>
    </xf>
    <xf numFmtId="2" fontId="14" fillId="4" borderId="41" xfId="0" applyNumberFormat="1" applyFont="1" applyFill="1" applyBorder="1" applyAlignment="1">
      <alignment horizontal="center"/>
    </xf>
    <xf numFmtId="164" fontId="5" fillId="0" borderId="20" xfId="0" applyNumberFormat="1" applyFont="1" applyBorder="1" applyAlignment="1">
      <alignment horizontal="center"/>
    </xf>
    <xf numFmtId="165" fontId="5" fillId="0" borderId="22" xfId="0" applyNumberFormat="1" applyFont="1" applyBorder="1" applyAlignment="1">
      <alignment horizontal="center"/>
    </xf>
    <xf numFmtId="1" fontId="13" fillId="0" borderId="15" xfId="0" applyNumberFormat="1" applyFont="1" applyBorder="1" applyAlignment="1">
      <alignment horizontal="left"/>
    </xf>
    <xf numFmtId="2" fontId="7" fillId="2" borderId="17" xfId="0" applyNumberFormat="1" applyFont="1" applyFill="1" applyBorder="1" applyAlignment="1">
      <alignment horizontal="center"/>
    </xf>
    <xf numFmtId="0" fontId="19" fillId="2" borderId="17" xfId="0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164" fontId="7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1" fontId="7" fillId="2" borderId="0" xfId="0" applyNumberFormat="1" applyFont="1" applyFill="1" applyBorder="1" applyAlignment="1">
      <alignment horizontal="center"/>
    </xf>
    <xf numFmtId="0" fontId="19" fillId="2" borderId="28" xfId="0" applyFont="1" applyFill="1" applyBorder="1" applyAlignment="1">
      <alignment horizontal="center"/>
    </xf>
    <xf numFmtId="0" fontId="19" fillId="2" borderId="39" xfId="0" applyFont="1" applyFill="1" applyBorder="1" applyAlignment="1">
      <alignment horizontal="center"/>
    </xf>
    <xf numFmtId="0" fontId="19" fillId="2" borderId="41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19" fillId="2" borderId="44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1" fontId="7" fillId="2" borderId="28" xfId="0" applyNumberFormat="1" applyFont="1" applyFill="1" applyBorder="1" applyAlignment="1">
      <alignment horizontal="center"/>
    </xf>
    <xf numFmtId="164" fontId="7" fillId="2" borderId="28" xfId="0" applyNumberFormat="1" applyFont="1" applyFill="1" applyBorder="1" applyAlignment="1">
      <alignment horizontal="center"/>
    </xf>
    <xf numFmtId="0" fontId="19" fillId="4" borderId="42" xfId="0" applyFont="1" applyFill="1" applyBorder="1"/>
    <xf numFmtId="0" fontId="0" fillId="0" borderId="0" xfId="0" applyBorder="1"/>
    <xf numFmtId="0" fontId="19" fillId="0" borderId="27" xfId="0" applyFont="1" applyBorder="1" applyAlignment="1">
      <alignment horizontal="center"/>
    </xf>
    <xf numFmtId="0" fontId="19" fillId="2" borderId="27" xfId="0" applyFont="1" applyFill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4" fillId="2" borderId="39" xfId="0" applyFont="1" applyFill="1" applyBorder="1" applyAlignment="1">
      <alignment horizontal="center"/>
    </xf>
    <xf numFmtId="0" fontId="14" fillId="2" borderId="42" xfId="0" applyFont="1" applyFill="1" applyBorder="1" applyAlignment="1">
      <alignment horizontal="center"/>
    </xf>
    <xf numFmtId="0" fontId="19" fillId="2" borderId="46" xfId="0" applyFont="1" applyFill="1" applyBorder="1" applyAlignment="1">
      <alignment horizontal="center"/>
    </xf>
    <xf numFmtId="0" fontId="19" fillId="2" borderId="42" xfId="0" applyFont="1" applyFill="1" applyBorder="1" applyAlignment="1">
      <alignment horizontal="center"/>
    </xf>
    <xf numFmtId="0" fontId="14" fillId="2" borderId="1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164" fontId="1" fillId="0" borderId="68" xfId="0" applyNumberFormat="1" applyFont="1" applyBorder="1" applyAlignment="1">
      <alignment horizontal="center"/>
    </xf>
    <xf numFmtId="0" fontId="13" fillId="0" borderId="15" xfId="0" applyNumberFormat="1" applyFont="1" applyBorder="1" applyAlignment="1">
      <alignment horizontal="left"/>
    </xf>
    <xf numFmtId="164" fontId="5" fillId="0" borderId="21" xfId="0" applyNumberFormat="1" applyFont="1" applyBorder="1" applyAlignment="1">
      <alignment horizontal="center"/>
    </xf>
    <xf numFmtId="1" fontId="1" fillId="0" borderId="16" xfId="0" applyNumberFormat="1" applyFont="1" applyBorder="1"/>
    <xf numFmtId="164" fontId="1" fillId="0" borderId="16" xfId="0" applyNumberFormat="1" applyFont="1" applyBorder="1"/>
    <xf numFmtId="0" fontId="1" fillId="0" borderId="51" xfId="0" applyFont="1" applyBorder="1"/>
    <xf numFmtId="167" fontId="1" fillId="0" borderId="16" xfId="0" applyNumberFormat="1" applyFont="1" applyBorder="1"/>
    <xf numFmtId="0" fontId="1" fillId="0" borderId="18" xfId="0" applyFont="1" applyBorder="1"/>
    <xf numFmtId="165" fontId="1" fillId="0" borderId="9" xfId="0" applyNumberFormat="1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11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0" fontId="22" fillId="0" borderId="15" xfId="0" applyFont="1" applyBorder="1" applyAlignment="1">
      <alignment horizontal="left"/>
    </xf>
    <xf numFmtId="164" fontId="13" fillId="0" borderId="16" xfId="0" applyNumberFormat="1" applyFont="1" applyBorder="1" applyAlignment="1">
      <alignment horizontal="center"/>
    </xf>
    <xf numFmtId="164" fontId="13" fillId="0" borderId="51" xfId="0" applyNumberFormat="1" applyFont="1" applyBorder="1" applyAlignment="1">
      <alignment horizontal="center"/>
    </xf>
    <xf numFmtId="0" fontId="13" fillId="0" borderId="52" xfId="0" applyFont="1" applyBorder="1" applyAlignment="1">
      <alignment horizontal="left"/>
    </xf>
    <xf numFmtId="165" fontId="12" fillId="0" borderId="8" xfId="0" applyNumberFormat="1" applyFont="1" applyFill="1" applyBorder="1" applyAlignment="1">
      <alignment horizontal="center"/>
    </xf>
    <xf numFmtId="167" fontId="12" fillId="0" borderId="8" xfId="0" applyNumberFormat="1" applyFont="1" applyFill="1" applyBorder="1" applyAlignment="1">
      <alignment horizontal="center"/>
    </xf>
    <xf numFmtId="0" fontId="2" fillId="0" borderId="4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168" fontId="2" fillId="0" borderId="4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168" fontId="2" fillId="0" borderId="64" xfId="0" applyNumberFormat="1" applyFont="1" applyBorder="1" applyAlignment="1">
      <alignment horizontal="center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center"/>
    </xf>
    <xf numFmtId="164" fontId="23" fillId="0" borderId="0" xfId="0" applyNumberFormat="1" applyFont="1" applyFill="1" applyBorder="1" applyAlignment="1">
      <alignment horizontal="center"/>
    </xf>
    <xf numFmtId="164" fontId="24" fillId="0" borderId="0" xfId="0" applyNumberFormat="1" applyFont="1" applyFill="1" applyBorder="1" applyAlignment="1">
      <alignment horizontal="center"/>
    </xf>
    <xf numFmtId="0" fontId="23" fillId="0" borderId="0" xfId="0" applyNumberFormat="1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0" fontId="0" fillId="0" borderId="0" xfId="0" applyBorder="1" applyProtection="1"/>
    <xf numFmtId="0" fontId="3" fillId="0" borderId="0" xfId="0" applyFont="1" applyBorder="1" applyAlignment="1">
      <alignment horizontal="center"/>
    </xf>
    <xf numFmtId="165" fontId="22" fillId="0" borderId="52" xfId="0" applyNumberFormat="1" applyFont="1" applyBorder="1" applyAlignment="1">
      <alignment horizontal="left"/>
    </xf>
    <xf numFmtId="0" fontId="3" fillId="5" borderId="34" xfId="0" applyFont="1" applyFill="1" applyBorder="1" applyAlignment="1">
      <alignment horizontal="center"/>
    </xf>
    <xf numFmtId="0" fontId="13" fillId="5" borderId="38" xfId="0" applyFont="1" applyFill="1" applyBorder="1" applyAlignment="1">
      <alignment horizontal="center"/>
    </xf>
    <xf numFmtId="165" fontId="3" fillId="5" borderId="50" xfId="0" applyNumberFormat="1" applyFont="1" applyFill="1" applyBorder="1" applyAlignment="1">
      <alignment horizontal="center"/>
    </xf>
    <xf numFmtId="2" fontId="16" fillId="5" borderId="52" xfId="0" applyNumberFormat="1" applyFont="1" applyFill="1" applyBorder="1" applyAlignment="1">
      <alignment horizontal="left"/>
    </xf>
    <xf numFmtId="0" fontId="17" fillId="5" borderId="16" xfId="0" applyFont="1" applyFill="1" applyBorder="1" applyAlignment="1">
      <alignment horizontal="center"/>
    </xf>
    <xf numFmtId="2" fontId="5" fillId="5" borderId="5" xfId="0" applyNumberFormat="1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2" fontId="5" fillId="5" borderId="2" xfId="0" applyNumberFormat="1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25" fillId="0" borderId="17" xfId="0" applyNumberFormat="1" applyFont="1" applyFill="1" applyBorder="1" applyAlignment="1" applyProtection="1">
      <alignment horizontal="center"/>
    </xf>
    <xf numFmtId="0" fontId="0" fillId="0" borderId="39" xfId="0" applyBorder="1" applyProtection="1"/>
    <xf numFmtId="0" fontId="0" fillId="0" borderId="17" xfId="0" applyBorder="1" applyProtection="1"/>
    <xf numFmtId="3" fontId="5" fillId="0" borderId="29" xfId="0" applyNumberFormat="1" applyFont="1" applyBorder="1" applyAlignment="1">
      <alignment horizontal="center"/>
    </xf>
    <xf numFmtId="0" fontId="25" fillId="0" borderId="17" xfId="0" applyFont="1" applyBorder="1" applyProtection="1"/>
    <xf numFmtId="3" fontId="5" fillId="0" borderId="40" xfId="0" applyNumberFormat="1" applyFont="1" applyBorder="1" applyAlignment="1">
      <alignment horizontal="center"/>
    </xf>
    <xf numFmtId="0" fontId="7" fillId="0" borderId="41" xfId="0" applyFont="1" applyBorder="1" applyProtection="1"/>
    <xf numFmtId="0" fontId="0" fillId="0" borderId="41" xfId="0" applyFill="1" applyBorder="1" applyProtection="1"/>
    <xf numFmtId="3" fontId="5" fillId="0" borderId="30" xfId="0" applyNumberFormat="1" applyFont="1" applyBorder="1" applyAlignment="1">
      <alignment horizontal="center"/>
    </xf>
    <xf numFmtId="0" fontId="0" fillId="0" borderId="28" xfId="0" applyBorder="1" applyAlignment="1">
      <alignment horizontal="right"/>
    </xf>
    <xf numFmtId="165" fontId="1" fillId="0" borderId="39" xfId="0" applyNumberFormat="1" applyFont="1" applyBorder="1" applyAlignment="1">
      <alignment horizontal="left"/>
    </xf>
    <xf numFmtId="0" fontId="7" fillId="0" borderId="42" xfId="0" applyFont="1" applyFill="1" applyBorder="1" applyAlignment="1" applyProtection="1"/>
    <xf numFmtId="164" fontId="5" fillId="0" borderId="5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0" fontId="32" fillId="0" borderId="0" xfId="0" applyFont="1" applyBorder="1" applyAlignment="1">
      <alignment horizontal="right"/>
    </xf>
    <xf numFmtId="166" fontId="0" fillId="0" borderId="0" xfId="0" applyNumberFormat="1" applyFill="1" applyBorder="1" applyAlignment="1" applyProtection="1"/>
    <xf numFmtId="1" fontId="5" fillId="6" borderId="21" xfId="0" applyNumberFormat="1" applyFont="1" applyFill="1" applyBorder="1" applyAlignment="1">
      <alignment horizontal="center"/>
    </xf>
    <xf numFmtId="1" fontId="5" fillId="6" borderId="22" xfId="0" applyNumberFormat="1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164" fontId="12" fillId="0" borderId="25" xfId="0" applyNumberFormat="1" applyFont="1" applyFill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7" fontId="1" fillId="0" borderId="9" xfId="0" applyNumberFormat="1" applyFont="1" applyBorder="1" applyAlignment="1">
      <alignment horizontal="center"/>
    </xf>
    <xf numFmtId="1" fontId="3" fillId="0" borderId="0" xfId="0" applyNumberFormat="1" applyFont="1" applyBorder="1"/>
    <xf numFmtId="2" fontId="26" fillId="0" borderId="0" xfId="0" applyNumberFormat="1" applyFont="1" applyFill="1" applyBorder="1" applyAlignment="1" applyProtection="1">
      <protection locked="0"/>
    </xf>
    <xf numFmtId="0" fontId="33" fillId="0" borderId="0" xfId="0" applyFont="1" applyFill="1" applyBorder="1" applyAlignment="1" applyProtection="1">
      <alignment horizontal="right"/>
    </xf>
    <xf numFmtId="0" fontId="0" fillId="0" borderId="29" xfId="0" applyFill="1" applyBorder="1" applyAlignment="1" applyProtection="1"/>
    <xf numFmtId="2" fontId="25" fillId="0" borderId="39" xfId="0" applyNumberFormat="1" applyFont="1" applyFill="1" applyBorder="1" applyAlignment="1" applyProtection="1">
      <alignment horizontal="right"/>
    </xf>
    <xf numFmtId="0" fontId="26" fillId="0" borderId="40" xfId="0" applyFont="1" applyFill="1" applyBorder="1" applyAlignment="1" applyProtection="1">
      <protection locked="0"/>
    </xf>
    <xf numFmtId="0" fontId="26" fillId="0" borderId="30" xfId="0" applyFont="1" applyFill="1" applyBorder="1" applyAlignment="1" applyProtection="1">
      <protection locked="0"/>
    </xf>
    <xf numFmtId="0" fontId="13" fillId="0" borderId="34" xfId="0" applyNumberFormat="1" applyFont="1" applyBorder="1" applyAlignment="1">
      <alignment horizontal="left"/>
    </xf>
    <xf numFmtId="167" fontId="1" fillId="0" borderId="38" xfId="0" applyNumberFormat="1" applyFont="1" applyBorder="1"/>
    <xf numFmtId="0" fontId="1" fillId="0" borderId="38" xfId="0" applyFont="1" applyBorder="1"/>
    <xf numFmtId="1" fontId="1" fillId="0" borderId="38" xfId="0" applyNumberFormat="1" applyFont="1" applyBorder="1"/>
    <xf numFmtId="1" fontId="1" fillId="0" borderId="50" xfId="0" applyNumberFormat="1" applyFont="1" applyBorder="1"/>
    <xf numFmtId="164" fontId="5" fillId="0" borderId="70" xfId="0" applyNumberFormat="1" applyFont="1" applyBorder="1" applyAlignment="1">
      <alignment horizontal="center"/>
    </xf>
    <xf numFmtId="165" fontId="5" fillId="0" borderId="70" xfId="0" applyNumberFormat="1" applyFont="1" applyBorder="1" applyAlignment="1">
      <alignment horizontal="center"/>
    </xf>
    <xf numFmtId="1" fontId="5" fillId="0" borderId="71" xfId="0" applyNumberFormat="1" applyFont="1" applyBorder="1" applyAlignment="1">
      <alignment horizontal="center"/>
    </xf>
    <xf numFmtId="1" fontId="5" fillId="0" borderId="22" xfId="0" applyNumberFormat="1" applyFont="1" applyBorder="1" applyAlignment="1">
      <alignment horizontal="center"/>
    </xf>
    <xf numFmtId="1" fontId="1" fillId="0" borderId="24" xfId="0" applyNumberFormat="1" applyFont="1" applyBorder="1" applyAlignment="1">
      <alignment horizontal="center"/>
    </xf>
    <xf numFmtId="1" fontId="12" fillId="0" borderId="26" xfId="0" applyNumberFormat="1" applyFont="1" applyFill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13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13" fillId="0" borderId="0" xfId="0" applyNumberFormat="1" applyFont="1" applyFill="1" applyBorder="1" applyAlignment="1">
      <alignment horizontal="center" vertical="center"/>
    </xf>
    <xf numFmtId="1" fontId="0" fillId="0" borderId="16" xfId="0" applyNumberFormat="1" applyBorder="1" applyAlignment="1">
      <alignment horizontal="center"/>
    </xf>
    <xf numFmtId="0" fontId="3" fillId="0" borderId="0" xfId="0" applyNumberFormat="1" applyFont="1"/>
    <xf numFmtId="0" fontId="1" fillId="0" borderId="16" xfId="0" applyNumberFormat="1" applyFont="1" applyBorder="1"/>
    <xf numFmtId="0" fontId="12" fillId="0" borderId="0" xfId="0" applyNumberFormat="1" applyFont="1" applyFill="1" applyBorder="1" applyAlignment="1">
      <alignment horizontal="center"/>
    </xf>
    <xf numFmtId="167" fontId="5" fillId="0" borderId="5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167" fontId="1" fillId="0" borderId="13" xfId="0" applyNumberFormat="1" applyFont="1" applyBorder="1" applyAlignment="1">
      <alignment horizontal="center"/>
    </xf>
    <xf numFmtId="2" fontId="5" fillId="5" borderId="19" xfId="0" applyNumberFormat="1" applyFont="1" applyFill="1" applyBorder="1" applyAlignment="1">
      <alignment horizontal="center"/>
    </xf>
    <xf numFmtId="1" fontId="5" fillId="5" borderId="4" xfId="0" applyNumberFormat="1" applyFont="1" applyFill="1" applyBorder="1" applyAlignment="1">
      <alignment horizontal="center"/>
    </xf>
    <xf numFmtId="2" fontId="5" fillId="5" borderId="21" xfId="0" applyNumberFormat="1" applyFont="1" applyFill="1" applyBorder="1" applyAlignment="1">
      <alignment horizontal="center"/>
    </xf>
    <xf numFmtId="1" fontId="5" fillId="5" borderId="1" xfId="0" applyNumberFormat="1" applyFont="1" applyFill="1" applyBorder="1" applyAlignment="1">
      <alignment horizontal="center"/>
    </xf>
    <xf numFmtId="2" fontId="0" fillId="5" borderId="23" xfId="0" applyNumberFormat="1" applyFill="1" applyBorder="1" applyAlignment="1">
      <alignment horizontal="center"/>
    </xf>
    <xf numFmtId="1" fontId="0" fillId="5" borderId="9" xfId="0" applyNumberFormat="1" applyFill="1" applyBorder="1" applyAlignment="1">
      <alignment horizontal="center"/>
    </xf>
    <xf numFmtId="2" fontId="23" fillId="5" borderId="25" xfId="0" applyNumberFormat="1" applyFont="1" applyFill="1" applyBorder="1" applyAlignment="1">
      <alignment horizontal="center"/>
    </xf>
    <xf numFmtId="1" fontId="11" fillId="5" borderId="8" xfId="0" applyNumberFormat="1" applyFont="1" applyFill="1" applyBorder="1" applyAlignment="1">
      <alignment horizontal="center"/>
    </xf>
    <xf numFmtId="164" fontId="5" fillId="0" borderId="63" xfId="0" applyNumberFormat="1" applyFont="1" applyBorder="1" applyAlignment="1">
      <alignment horizontal="center"/>
    </xf>
    <xf numFmtId="164" fontId="5" fillId="0" borderId="64" xfId="0" applyNumberFormat="1" applyFont="1" applyBorder="1" applyAlignment="1">
      <alignment horizontal="center"/>
    </xf>
    <xf numFmtId="164" fontId="1" fillId="0" borderId="65" xfId="0" applyNumberFormat="1" applyFont="1" applyBorder="1" applyAlignment="1">
      <alignment horizontal="center"/>
    </xf>
    <xf numFmtId="164" fontId="12" fillId="0" borderId="61" xfId="0" applyNumberFormat="1" applyFont="1" applyFill="1" applyBorder="1" applyAlignment="1">
      <alignment horizontal="center"/>
    </xf>
    <xf numFmtId="2" fontId="3" fillId="0" borderId="0" xfId="0" applyNumberFormat="1" applyFont="1"/>
    <xf numFmtId="2" fontId="1" fillId="0" borderId="16" xfId="0" applyNumberFormat="1" applyFont="1" applyBorder="1"/>
    <xf numFmtId="2" fontId="1" fillId="0" borderId="38" xfId="0" applyNumberFormat="1" applyFont="1" applyBorder="1"/>
    <xf numFmtId="2" fontId="5" fillId="0" borderId="69" xfId="0" applyNumberFormat="1" applyFont="1" applyBorder="1" applyAlignment="1">
      <alignment horizontal="center"/>
    </xf>
    <xf numFmtId="2" fontId="5" fillId="0" borderId="21" xfId="0" applyNumberFormat="1" applyFont="1" applyBorder="1" applyAlignment="1">
      <alignment horizontal="center"/>
    </xf>
    <xf numFmtId="2" fontId="1" fillId="0" borderId="23" xfId="0" applyNumberFormat="1" applyFont="1" applyBorder="1" applyAlignment="1">
      <alignment horizontal="center"/>
    </xf>
    <xf numFmtId="2" fontId="12" fillId="0" borderId="25" xfId="0" applyNumberFormat="1" applyFont="1" applyFill="1" applyBorder="1" applyAlignment="1">
      <alignment horizontal="center"/>
    </xf>
    <xf numFmtId="2" fontId="3" fillId="0" borderId="0" xfId="0" applyNumberFormat="1" applyFont="1" applyBorder="1"/>
    <xf numFmtId="0" fontId="5" fillId="0" borderId="19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1" fillId="0" borderId="23" xfId="0" applyNumberFormat="1" applyFont="1" applyBorder="1" applyAlignment="1">
      <alignment horizontal="center"/>
    </xf>
    <xf numFmtId="0" fontId="12" fillId="0" borderId="25" xfId="0" applyNumberFormat="1" applyFont="1" applyFill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2" fontId="22" fillId="3" borderId="22" xfId="0" applyNumberFormat="1" applyFont="1" applyFill="1" applyBorder="1" applyAlignment="1">
      <alignment horizontal="center"/>
    </xf>
    <xf numFmtId="167" fontId="1" fillId="3" borderId="20" xfId="0" applyNumberFormat="1" applyFont="1" applyFill="1" applyBorder="1" applyAlignment="1">
      <alignment horizontal="center"/>
    </xf>
    <xf numFmtId="167" fontId="1" fillId="3" borderId="22" xfId="0" applyNumberFormat="1" applyFont="1" applyFill="1" applyBorder="1" applyAlignment="1">
      <alignment horizontal="center"/>
    </xf>
    <xf numFmtId="167" fontId="11" fillId="3" borderId="26" xfId="0" applyNumberFormat="1" applyFont="1" applyFill="1" applyBorder="1" applyAlignment="1">
      <alignment horizontal="center"/>
    </xf>
    <xf numFmtId="167" fontId="5" fillId="3" borderId="20" xfId="0" applyNumberFormat="1" applyFont="1" applyFill="1" applyBorder="1" applyAlignment="1">
      <alignment horizontal="center"/>
    </xf>
    <xf numFmtId="1" fontId="5" fillId="6" borderId="45" xfId="0" applyNumberFormat="1" applyFont="1" applyFill="1" applyBorder="1" applyAlignment="1">
      <alignment horizontal="center"/>
    </xf>
    <xf numFmtId="1" fontId="5" fillId="6" borderId="6" xfId="0" applyNumberFormat="1" applyFont="1" applyFill="1" applyBorder="1" applyAlignment="1">
      <alignment horizontal="center"/>
    </xf>
    <xf numFmtId="164" fontId="5" fillId="6" borderId="7" xfId="0" applyNumberFormat="1" applyFont="1" applyFill="1" applyBorder="1" applyAlignment="1">
      <alignment horizontal="center"/>
    </xf>
    <xf numFmtId="1" fontId="5" fillId="6" borderId="40" xfId="0" applyNumberFormat="1" applyFont="1" applyFill="1" applyBorder="1" applyAlignment="1">
      <alignment horizontal="center"/>
    </xf>
    <xf numFmtId="1" fontId="5" fillId="6" borderId="0" xfId="0" applyNumberFormat="1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center"/>
    </xf>
    <xf numFmtId="3" fontId="5" fillId="6" borderId="34" xfId="0" applyNumberFormat="1" applyFont="1" applyFill="1" applyBorder="1" applyAlignment="1">
      <alignment horizontal="center"/>
    </xf>
    <xf numFmtId="0" fontId="13" fillId="6" borderId="38" xfId="0" applyFont="1" applyFill="1" applyBorder="1" applyAlignment="1">
      <alignment horizontal="center"/>
    </xf>
    <xf numFmtId="2" fontId="3" fillId="6" borderId="50" xfId="0" applyNumberFormat="1" applyFont="1" applyFill="1" applyBorder="1" applyAlignment="1">
      <alignment horizontal="center"/>
    </xf>
    <xf numFmtId="2" fontId="16" fillId="6" borderId="52" xfId="0" applyNumberFormat="1" applyFont="1" applyFill="1" applyBorder="1" applyAlignment="1">
      <alignment horizontal="left"/>
    </xf>
    <xf numFmtId="0" fontId="17" fillId="6" borderId="16" xfId="0" applyFont="1" applyFill="1" applyBorder="1" applyAlignment="1">
      <alignment horizontal="center"/>
    </xf>
    <xf numFmtId="2" fontId="17" fillId="6" borderId="51" xfId="0" applyNumberFormat="1" applyFont="1" applyFill="1" applyBorder="1" applyAlignment="1">
      <alignment horizontal="center"/>
    </xf>
    <xf numFmtId="2" fontId="5" fillId="6" borderId="5" xfId="0" applyNumberFormat="1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2" fontId="5" fillId="6" borderId="7" xfId="0" applyNumberFormat="1" applyFont="1" applyFill="1" applyBorder="1" applyAlignment="1">
      <alignment horizontal="center"/>
    </xf>
    <xf numFmtId="2" fontId="5" fillId="6" borderId="2" xfId="0" applyNumberFormat="1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2" fontId="5" fillId="6" borderId="3" xfId="0" applyNumberFormat="1" applyFont="1" applyFill="1" applyBorder="1" applyAlignment="1">
      <alignment horizontal="center"/>
    </xf>
    <xf numFmtId="169" fontId="5" fillId="0" borderId="0" xfId="0" applyNumberFormat="1" applyFont="1" applyFill="1" applyBorder="1" applyAlignment="1">
      <alignment horizontal="left"/>
    </xf>
    <xf numFmtId="169" fontId="13" fillId="0" borderId="0" xfId="0" applyNumberFormat="1" applyFont="1" applyFill="1" applyBorder="1" applyAlignment="1">
      <alignment horizontal="left"/>
    </xf>
    <xf numFmtId="0" fontId="0" fillId="0" borderId="41" xfId="0" applyBorder="1"/>
    <xf numFmtId="169" fontId="5" fillId="0" borderId="40" xfId="0" applyNumberFormat="1" applyFont="1" applyFill="1" applyBorder="1" applyAlignment="1">
      <alignment horizontal="left"/>
    </xf>
    <xf numFmtId="169" fontId="5" fillId="0" borderId="30" xfId="0" applyNumberFormat="1" applyFont="1" applyFill="1" applyBorder="1" applyAlignment="1">
      <alignment horizontal="left"/>
    </xf>
    <xf numFmtId="169" fontId="13" fillId="0" borderId="15" xfId="0" applyNumberFormat="1" applyFont="1" applyFill="1" applyBorder="1" applyAlignment="1">
      <alignment horizontal="left"/>
    </xf>
    <xf numFmtId="0" fontId="0" fillId="0" borderId="18" xfId="0" applyBorder="1"/>
    <xf numFmtId="0" fontId="13" fillId="0" borderId="51" xfId="0" applyNumberFormat="1" applyFont="1" applyBorder="1" applyAlignment="1">
      <alignment horizontal="left"/>
    </xf>
    <xf numFmtId="0" fontId="24" fillId="0" borderId="0" xfId="0" applyNumberFormat="1" applyFont="1" applyFill="1" applyBorder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0" fontId="24" fillId="6" borderId="25" xfId="0" applyFont="1" applyFill="1" applyBorder="1" applyAlignment="1">
      <alignment horizontal="center"/>
    </xf>
    <xf numFmtId="0" fontId="24" fillId="6" borderId="26" xfId="0" applyFont="1" applyFill="1" applyBorder="1" applyAlignment="1">
      <alignment horizontal="center"/>
    </xf>
    <xf numFmtId="2" fontId="5" fillId="3" borderId="24" xfId="0" applyNumberFormat="1" applyFont="1" applyFill="1" applyBorder="1" applyAlignment="1">
      <alignment horizontal="center"/>
    </xf>
    <xf numFmtId="0" fontId="3" fillId="0" borderId="0" xfId="0" applyNumberFormat="1" applyFont="1" applyBorder="1"/>
    <xf numFmtId="167" fontId="5" fillId="0" borderId="0" xfId="0" applyNumberFormat="1" applyFont="1" applyBorder="1"/>
    <xf numFmtId="1" fontId="5" fillId="0" borderId="0" xfId="0" applyNumberFormat="1" applyFont="1" applyBorder="1"/>
    <xf numFmtId="2" fontId="5" fillId="0" borderId="0" xfId="0" applyNumberFormat="1" applyFont="1" applyBorder="1"/>
    <xf numFmtId="0" fontId="5" fillId="0" borderId="0" xfId="0" applyNumberFormat="1" applyFont="1" applyBorder="1"/>
    <xf numFmtId="167" fontId="3" fillId="0" borderId="0" xfId="0" applyNumberFormat="1" applyFont="1" applyBorder="1"/>
    <xf numFmtId="0" fontId="1" fillId="0" borderId="0" xfId="0" applyFont="1" applyBorder="1" applyAlignment="1">
      <alignment horizontal="right"/>
    </xf>
    <xf numFmtId="165" fontId="1" fillId="0" borderId="17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1" fillId="0" borderId="28" xfId="0" applyNumberFormat="1" applyFont="1" applyBorder="1" applyAlignment="1">
      <alignment horizontal="center"/>
    </xf>
    <xf numFmtId="0" fontId="1" fillId="0" borderId="17" xfId="0" applyFont="1" applyBorder="1"/>
    <xf numFmtId="164" fontId="1" fillId="0" borderId="0" xfId="0" applyNumberFormat="1" applyFont="1"/>
    <xf numFmtId="0" fontId="1" fillId="0" borderId="28" xfId="0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8" xfId="0" applyFont="1" applyBorder="1"/>
    <xf numFmtId="0" fontId="1" fillId="0" borderId="28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0" fontId="0" fillId="0" borderId="28" xfId="0" applyBorder="1" applyProtection="1"/>
    <xf numFmtId="0" fontId="0" fillId="0" borderId="42" xfId="0" applyFill="1" applyBorder="1" applyProtection="1"/>
    <xf numFmtId="0" fontId="24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3" fillId="0" borderId="52" xfId="0" applyFont="1" applyBorder="1" applyAlignment="1">
      <alignment horizontal="center"/>
    </xf>
    <xf numFmtId="0" fontId="3" fillId="0" borderId="40" xfId="0" applyFont="1" applyBorder="1"/>
    <xf numFmtId="164" fontId="3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2" fontId="3" fillId="6" borderId="2" xfId="0" applyNumberFormat="1" applyFont="1" applyFill="1" applyBorder="1" applyAlignment="1">
      <alignment horizontal="center"/>
    </xf>
    <xf numFmtId="2" fontId="3" fillId="6" borderId="3" xfId="0" applyNumberFormat="1" applyFont="1" applyFill="1" applyBorder="1" applyAlignment="1">
      <alignment horizontal="center"/>
    </xf>
    <xf numFmtId="2" fontId="3" fillId="5" borderId="2" xfId="0" applyNumberFormat="1" applyFont="1" applyFill="1" applyBorder="1" applyAlignment="1">
      <alignment horizontal="center"/>
    </xf>
    <xf numFmtId="165" fontId="3" fillId="0" borderId="41" xfId="0" applyNumberFormat="1" applyFont="1" applyBorder="1" applyAlignment="1">
      <alignment horizontal="center"/>
    </xf>
    <xf numFmtId="0" fontId="23" fillId="0" borderId="54" xfId="0" applyFont="1" applyFill="1" applyBorder="1"/>
    <xf numFmtId="0" fontId="23" fillId="0" borderId="11" xfId="0" applyFont="1" applyFill="1" applyBorder="1"/>
    <xf numFmtId="0" fontId="23" fillId="0" borderId="11" xfId="0" applyFont="1" applyFill="1" applyBorder="1" applyAlignment="1">
      <alignment horizontal="center"/>
    </xf>
    <xf numFmtId="164" fontId="24" fillId="0" borderId="10" xfId="0" applyNumberFormat="1" applyFont="1" applyFill="1" applyBorder="1" applyAlignment="1">
      <alignment horizontal="center"/>
    </xf>
    <xf numFmtId="0" fontId="24" fillId="0" borderId="12" xfId="0" applyNumberFormat="1" applyFont="1" applyFill="1" applyBorder="1" applyAlignment="1">
      <alignment horizontal="center"/>
    </xf>
    <xf numFmtId="0" fontId="23" fillId="0" borderId="10" xfId="0" applyNumberFormat="1" applyFont="1" applyFill="1" applyBorder="1" applyAlignment="1">
      <alignment horizontal="center"/>
    </xf>
    <xf numFmtId="164" fontId="23" fillId="0" borderId="12" xfId="0" applyNumberFormat="1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23" fillId="0" borderId="53" xfId="0" applyFont="1" applyFill="1" applyBorder="1" applyAlignment="1">
      <alignment horizontal="center"/>
    </xf>
    <xf numFmtId="1" fontId="11" fillId="0" borderId="12" xfId="0" applyNumberFormat="1" applyFont="1" applyFill="1" applyBorder="1" applyAlignment="1">
      <alignment horizontal="center"/>
    </xf>
    <xf numFmtId="0" fontId="11" fillId="0" borderId="10" xfId="0" applyNumberFormat="1" applyFont="1" applyFill="1" applyBorder="1" applyAlignment="1">
      <alignment horizontal="center"/>
    </xf>
    <xf numFmtId="3" fontId="12" fillId="0" borderId="12" xfId="0" applyNumberFormat="1" applyFont="1" applyFill="1" applyBorder="1" applyAlignment="1">
      <alignment horizontal="center"/>
    </xf>
    <xf numFmtId="2" fontId="11" fillId="6" borderId="10" xfId="0" applyNumberFormat="1" applyFont="1" applyFill="1" applyBorder="1" applyAlignment="1">
      <alignment horizontal="center"/>
    </xf>
    <xf numFmtId="0" fontId="11" fillId="6" borderId="11" xfId="0" applyFont="1" applyFill="1" applyBorder="1" applyAlignment="1">
      <alignment horizontal="center"/>
    </xf>
    <xf numFmtId="2" fontId="11" fillId="6" borderId="12" xfId="0" applyNumberFormat="1" applyFont="1" applyFill="1" applyBorder="1" applyAlignment="1">
      <alignment horizontal="center"/>
    </xf>
    <xf numFmtId="2" fontId="11" fillId="5" borderId="10" xfId="0" applyNumberFormat="1" applyFont="1" applyFill="1" applyBorder="1" applyAlignment="1">
      <alignment horizontal="center"/>
    </xf>
    <xf numFmtId="0" fontId="11" fillId="5" borderId="11" xfId="0" applyFont="1" applyFill="1" applyBorder="1" applyAlignment="1">
      <alignment horizontal="center"/>
    </xf>
    <xf numFmtId="165" fontId="11" fillId="0" borderId="53" xfId="0" applyNumberFormat="1" applyFont="1" applyFill="1" applyBorder="1" applyAlignment="1">
      <alignment horizontal="center"/>
    </xf>
    <xf numFmtId="1" fontId="1" fillId="6" borderId="40" xfId="0" applyNumberFormat="1" applyFont="1" applyFill="1" applyBorder="1" applyAlignment="1">
      <alignment horizontal="center"/>
    </xf>
    <xf numFmtId="1" fontId="1" fillId="6" borderId="0" xfId="0" applyNumberFormat="1" applyFont="1" applyFill="1" applyBorder="1" applyAlignment="1">
      <alignment horizontal="center"/>
    </xf>
    <xf numFmtId="164" fontId="1" fillId="6" borderId="3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1" fontId="12" fillId="6" borderId="54" xfId="0" applyNumberFormat="1" applyFont="1" applyFill="1" applyBorder="1" applyAlignment="1">
      <alignment horizontal="center"/>
    </xf>
    <xf numFmtId="1" fontId="12" fillId="6" borderId="11" xfId="0" applyNumberFormat="1" applyFont="1" applyFill="1" applyBorder="1" applyAlignment="1">
      <alignment horizontal="center"/>
    </xf>
    <xf numFmtId="164" fontId="12" fillId="6" borderId="12" xfId="0" applyNumberFormat="1" applyFont="1" applyFill="1" applyBorder="1" applyAlignment="1">
      <alignment horizontal="center"/>
    </xf>
    <xf numFmtId="164" fontId="12" fillId="0" borderId="26" xfId="0" applyNumberFormat="1" applyFont="1" applyFill="1" applyBorder="1" applyAlignment="1">
      <alignment horizontal="center"/>
    </xf>
    <xf numFmtId="0" fontId="25" fillId="0" borderId="0" xfId="0" applyFont="1" applyBorder="1" applyProtection="1"/>
    <xf numFmtId="1" fontId="3" fillId="0" borderId="0" xfId="0" applyNumberFormat="1" applyFont="1" applyBorder="1" applyAlignment="1">
      <alignment horizontal="center"/>
    </xf>
    <xf numFmtId="0" fontId="23" fillId="0" borderId="38" xfId="0" applyFont="1" applyBorder="1" applyAlignment="1" applyProtection="1">
      <alignment horizontal="center"/>
      <protection locked="0"/>
    </xf>
    <xf numFmtId="0" fontId="3" fillId="0" borderId="38" xfId="0" applyFont="1" applyBorder="1"/>
    <xf numFmtId="164" fontId="1" fillId="0" borderId="38" xfId="0" applyNumberFormat="1" applyFont="1" applyBorder="1" applyAlignment="1">
      <alignment horizontal="right"/>
    </xf>
    <xf numFmtId="0" fontId="1" fillId="0" borderId="50" xfId="0" applyFont="1" applyBorder="1"/>
    <xf numFmtId="0" fontId="1" fillId="0" borderId="34" xfId="0" applyFont="1" applyBorder="1"/>
    <xf numFmtId="0" fontId="1" fillId="0" borderId="38" xfId="0" applyNumberFormat="1" applyFont="1" applyBorder="1" applyAlignment="1">
      <alignment horizontal="center"/>
    </xf>
    <xf numFmtId="165" fontId="3" fillId="0" borderId="38" xfId="0" applyNumberFormat="1" applyFont="1" applyBorder="1" applyAlignment="1">
      <alignment horizontal="center"/>
    </xf>
    <xf numFmtId="3" fontId="39" fillId="0" borderId="29" xfId="0" applyNumberFormat="1" applyFont="1" applyBorder="1" applyAlignment="1">
      <alignment horizontal="left"/>
    </xf>
    <xf numFmtId="0" fontId="3" fillId="0" borderId="30" xfId="0" applyFont="1" applyBorder="1"/>
    <xf numFmtId="0" fontId="3" fillId="0" borderId="28" xfId="0" applyFont="1" applyBorder="1"/>
    <xf numFmtId="1" fontId="3" fillId="0" borderId="28" xfId="0" applyNumberFormat="1" applyFont="1" applyBorder="1" applyAlignment="1">
      <alignment horizontal="center"/>
    </xf>
    <xf numFmtId="1" fontId="3" fillId="0" borderId="42" xfId="0" applyNumberFormat="1" applyFont="1" applyBorder="1"/>
    <xf numFmtId="3" fontId="5" fillId="0" borderId="28" xfId="0" applyNumberFormat="1" applyFont="1" applyBorder="1" applyAlignment="1">
      <alignment horizontal="center"/>
    </xf>
    <xf numFmtId="165" fontId="16" fillId="0" borderId="16" xfId="0" applyNumberFormat="1" applyFont="1" applyBorder="1" applyAlignment="1">
      <alignment horizontal="left"/>
    </xf>
    <xf numFmtId="165" fontId="5" fillId="0" borderId="6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11" fillId="0" borderId="11" xfId="0" applyNumberFormat="1" applyFont="1" applyFill="1" applyBorder="1" applyAlignment="1">
      <alignment horizontal="center"/>
    </xf>
    <xf numFmtId="165" fontId="16" fillId="0" borderId="72" xfId="0" applyNumberFormat="1" applyFont="1" applyBorder="1" applyAlignment="1">
      <alignment horizontal="center"/>
    </xf>
    <xf numFmtId="165" fontId="16" fillId="0" borderId="68" xfId="0" applyNumberFormat="1" applyFont="1" applyBorder="1" applyAlignment="1">
      <alignment horizontal="center"/>
    </xf>
    <xf numFmtId="165" fontId="5" fillId="0" borderId="19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center"/>
    </xf>
    <xf numFmtId="165" fontId="5" fillId="0" borderId="21" xfId="0" applyNumberFormat="1" applyFont="1" applyBorder="1" applyAlignment="1">
      <alignment horizontal="center"/>
    </xf>
    <xf numFmtId="165" fontId="3" fillId="0" borderId="21" xfId="0" applyNumberFormat="1" applyFont="1" applyBorder="1" applyAlignment="1">
      <alignment horizontal="center"/>
    </xf>
    <xf numFmtId="165" fontId="3" fillId="0" borderId="22" xfId="0" applyNumberFormat="1" applyFont="1" applyBorder="1" applyAlignment="1">
      <alignment horizontal="center"/>
    </xf>
    <xf numFmtId="165" fontId="11" fillId="0" borderId="25" xfId="0" applyNumberFormat="1" applyFont="1" applyFill="1" applyBorder="1" applyAlignment="1">
      <alignment horizontal="center"/>
    </xf>
    <xf numFmtId="165" fontId="11" fillId="0" borderId="26" xfId="0" applyNumberFormat="1" applyFont="1" applyFill="1" applyBorder="1" applyAlignment="1">
      <alignment horizontal="center"/>
    </xf>
    <xf numFmtId="0" fontId="0" fillId="0" borderId="0" xfId="0" applyFill="1" applyBorder="1" applyProtection="1"/>
    <xf numFmtId="0" fontId="1" fillId="0" borderId="17" xfId="0" applyFont="1" applyBorder="1" applyAlignment="1">
      <alignment horizontal="left"/>
    </xf>
    <xf numFmtId="1" fontId="1" fillId="0" borderId="41" xfId="0" applyNumberFormat="1" applyFont="1" applyBorder="1"/>
    <xf numFmtId="2" fontId="3" fillId="0" borderId="0" xfId="0" applyNumberFormat="1" applyFont="1" applyBorder="1" applyAlignment="1">
      <alignment horizontal="center"/>
    </xf>
    <xf numFmtId="1" fontId="1" fillId="0" borderId="42" xfId="0" applyNumberFormat="1" applyFont="1" applyBorder="1"/>
    <xf numFmtId="0" fontId="5" fillId="0" borderId="39" xfId="0" applyFont="1" applyBorder="1"/>
    <xf numFmtId="0" fontId="3" fillId="0" borderId="29" xfId="0" applyFont="1" applyBorder="1"/>
    <xf numFmtId="165" fontId="1" fillId="0" borderId="3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0" fillId="0" borderId="29" xfId="0" applyBorder="1" applyProtection="1"/>
    <xf numFmtId="165" fontId="1" fillId="0" borderId="40" xfId="0" applyNumberFormat="1" applyFont="1" applyBorder="1" applyAlignment="1">
      <alignment horizontal="center"/>
    </xf>
    <xf numFmtId="0" fontId="1" fillId="0" borderId="30" xfId="0" applyFont="1" applyBorder="1"/>
    <xf numFmtId="0" fontId="23" fillId="0" borderId="27" xfId="0" applyFont="1" applyBorder="1" applyAlignment="1" applyProtection="1">
      <alignment horizontal="center"/>
      <protection locked="0"/>
    </xf>
    <xf numFmtId="2" fontId="42" fillId="0" borderId="11" xfId="0" applyNumberFormat="1" applyFont="1" applyFill="1" applyBorder="1" applyAlignment="1">
      <alignment horizontal="center"/>
    </xf>
    <xf numFmtId="168" fontId="27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2" fontId="13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0" fontId="42" fillId="0" borderId="11" xfId="0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2" fontId="22" fillId="3" borderId="1" xfId="0" applyNumberFormat="1" applyFont="1" applyFill="1" applyBorder="1" applyAlignment="1">
      <alignment horizontal="center"/>
    </xf>
    <xf numFmtId="2" fontId="5" fillId="3" borderId="9" xfId="0" applyNumberFormat="1" applyFont="1" applyFill="1" applyBorder="1" applyAlignment="1">
      <alignment horizontal="center"/>
    </xf>
    <xf numFmtId="2" fontId="11" fillId="3" borderId="8" xfId="0" applyNumberFormat="1" applyFont="1" applyFill="1" applyBorder="1" applyAlignment="1">
      <alignment horizontal="center"/>
    </xf>
    <xf numFmtId="0" fontId="1" fillId="0" borderId="0" xfId="0" applyFont="1"/>
    <xf numFmtId="0" fontId="5" fillId="3" borderId="66" xfId="0" applyFont="1" applyFill="1" applyBorder="1" applyAlignment="1">
      <alignment horizontal="center"/>
    </xf>
    <xf numFmtId="0" fontId="5" fillId="3" borderId="64" xfId="0" applyFont="1" applyFill="1" applyBorder="1" applyAlignment="1">
      <alignment horizontal="center"/>
    </xf>
    <xf numFmtId="2" fontId="5" fillId="3" borderId="65" xfId="0" applyNumberFormat="1" applyFont="1" applyFill="1" applyBorder="1" applyAlignment="1">
      <alignment horizontal="center"/>
    </xf>
    <xf numFmtId="0" fontId="3" fillId="3" borderId="61" xfId="0" applyFont="1" applyFill="1" applyBorder="1" applyAlignment="1">
      <alignment horizontal="center"/>
    </xf>
    <xf numFmtId="0" fontId="43" fillId="0" borderId="0" xfId="0" applyFont="1" applyFill="1"/>
    <xf numFmtId="0" fontId="44" fillId="6" borderId="26" xfId="0" applyFont="1" applyFill="1" applyBorder="1" applyAlignment="1">
      <alignment horizontal="center"/>
    </xf>
    <xf numFmtId="2" fontId="42" fillId="5" borderId="25" xfId="0" applyNumberFormat="1" applyFont="1" applyFill="1" applyBorder="1" applyAlignment="1">
      <alignment horizontal="center"/>
    </xf>
    <xf numFmtId="1" fontId="42" fillId="5" borderId="8" xfId="0" applyNumberFormat="1" applyFont="1" applyFill="1" applyBorder="1" applyAlignment="1">
      <alignment horizontal="center"/>
    </xf>
    <xf numFmtId="2" fontId="42" fillId="3" borderId="8" xfId="0" applyNumberFormat="1" applyFont="1" applyFill="1" applyBorder="1" applyAlignment="1">
      <alignment horizontal="center"/>
    </xf>
    <xf numFmtId="0" fontId="22" fillId="3" borderId="61" xfId="0" applyFont="1" applyFill="1" applyBorder="1" applyAlignment="1">
      <alignment horizontal="center"/>
    </xf>
    <xf numFmtId="0" fontId="44" fillId="6" borderId="12" xfId="0" applyFont="1" applyFill="1" applyBorder="1" applyAlignment="1">
      <alignment horizontal="center"/>
    </xf>
    <xf numFmtId="0" fontId="42" fillId="0" borderId="8" xfId="0" applyFont="1" applyFill="1" applyBorder="1"/>
    <xf numFmtId="0" fontId="42" fillId="0" borderId="8" xfId="0" applyFont="1" applyFill="1" applyBorder="1" applyAlignment="1">
      <alignment horizontal="center"/>
    </xf>
    <xf numFmtId="166" fontId="28" fillId="0" borderId="28" xfId="0" applyNumberFormat="1" applyFont="1" applyFill="1" applyBorder="1" applyAlignment="1" applyProtection="1">
      <alignment horizontal="center" vertical="center"/>
    </xf>
    <xf numFmtId="0" fontId="28" fillId="0" borderId="11" xfId="0" applyFont="1" applyBorder="1" applyAlignment="1" applyProtection="1">
      <alignment horizontal="center" vertical="center"/>
    </xf>
    <xf numFmtId="0" fontId="23" fillId="0" borderId="11" xfId="0" applyFont="1" applyFill="1" applyBorder="1" applyAlignment="1" applyProtection="1">
      <alignment horizontal="center" vertical="center"/>
      <protection locked="0"/>
    </xf>
    <xf numFmtId="0" fontId="23" fillId="0" borderId="27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27" fillId="0" borderId="0" xfId="0" applyFont="1" applyBorder="1" applyAlignment="1" applyProtection="1">
      <alignment horizontal="right" vertical="center"/>
    </xf>
    <xf numFmtId="0" fontId="0" fillId="0" borderId="28" xfId="0" applyBorder="1" applyAlignment="1">
      <alignment horizontal="right" vertical="center"/>
    </xf>
    <xf numFmtId="2" fontId="1" fillId="0" borderId="17" xfId="0" applyNumberFormat="1" applyFont="1" applyBorder="1" applyAlignment="1">
      <alignment horizontal="right" vertical="center"/>
    </xf>
    <xf numFmtId="0" fontId="27" fillId="0" borderId="28" xfId="0" applyFont="1" applyBorder="1" applyAlignment="1" applyProtection="1">
      <alignment horizontal="right" vertical="center"/>
    </xf>
    <xf numFmtId="0" fontId="7" fillId="0" borderId="28" xfId="0" applyFont="1" applyBorder="1" applyAlignment="1" applyProtection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2" fontId="23" fillId="0" borderId="11" xfId="0" applyNumberFormat="1" applyFont="1" applyFill="1" applyBorder="1" applyAlignment="1" applyProtection="1">
      <alignment horizontal="center" vertical="center"/>
      <protection locked="0"/>
    </xf>
    <xf numFmtId="2" fontId="23" fillId="0" borderId="55" xfId="0" applyNumberFormat="1" applyFont="1" applyBorder="1" applyAlignment="1" applyProtection="1">
      <alignment horizontal="center" vertical="center"/>
      <protection locked="0"/>
    </xf>
    <xf numFmtId="2" fontId="23" fillId="0" borderId="44" xfId="0" applyNumberFormat="1" applyFont="1" applyFill="1" applyBorder="1" applyAlignment="1" applyProtection="1">
      <alignment horizontal="center" vertical="center"/>
      <protection locked="0"/>
    </xf>
    <xf numFmtId="2" fontId="23" fillId="0" borderId="56" xfId="0" applyNumberFormat="1" applyFont="1" applyFill="1" applyBorder="1" applyAlignment="1" applyProtection="1">
      <alignment horizontal="center" vertical="center"/>
      <protection locked="0"/>
    </xf>
    <xf numFmtId="2" fontId="23" fillId="0" borderId="46" xfId="0" applyNumberFormat="1" applyFont="1" applyFill="1" applyBorder="1" applyAlignment="1" applyProtection="1">
      <alignment horizontal="center" vertical="center"/>
      <protection locked="0"/>
    </xf>
    <xf numFmtId="0" fontId="23" fillId="0" borderId="16" xfId="0" applyFont="1" applyBorder="1" applyAlignment="1" applyProtection="1">
      <alignment horizontal="center" vertical="center"/>
      <protection locked="0"/>
    </xf>
    <xf numFmtId="1" fontId="23" fillId="0" borderId="55" xfId="0" applyNumberFormat="1" applyFont="1" applyFill="1" applyBorder="1" applyAlignment="1" applyProtection="1">
      <alignment horizontal="center" vertical="center"/>
      <protection locked="0"/>
    </xf>
    <xf numFmtId="2" fontId="42" fillId="0" borderId="0" xfId="0" applyNumberFormat="1" applyFont="1" applyFill="1" applyBorder="1" applyAlignment="1">
      <alignment horizontal="center"/>
    </xf>
    <xf numFmtId="1" fontId="42" fillId="0" borderId="0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 vertical="center"/>
    </xf>
    <xf numFmtId="1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/>
    <xf numFmtId="0" fontId="3" fillId="0" borderId="73" xfId="0" applyFont="1" applyBorder="1" applyAlignment="1">
      <alignment horizontal="center"/>
    </xf>
    <xf numFmtId="2" fontId="17" fillId="5" borderId="18" xfId="0" applyNumberFormat="1" applyFont="1" applyFill="1" applyBorder="1" applyAlignment="1">
      <alignment horizontal="center"/>
    </xf>
    <xf numFmtId="2" fontId="5" fillId="5" borderId="46" xfId="0" applyNumberFormat="1" applyFont="1" applyFill="1" applyBorder="1" applyAlignment="1">
      <alignment horizontal="center"/>
    </xf>
    <xf numFmtId="2" fontId="5" fillId="5" borderId="41" xfId="0" applyNumberFormat="1" applyFont="1" applyFill="1" applyBorder="1" applyAlignment="1">
      <alignment horizontal="center"/>
    </xf>
    <xf numFmtId="2" fontId="3" fillId="5" borderId="41" xfId="0" applyNumberFormat="1" applyFont="1" applyFill="1" applyBorder="1" applyAlignment="1">
      <alignment horizontal="center"/>
    </xf>
    <xf numFmtId="2" fontId="11" fillId="5" borderId="53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 vertical="center"/>
    </xf>
    <xf numFmtId="0" fontId="23" fillId="0" borderId="54" xfId="0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/>
    </xf>
    <xf numFmtId="0" fontId="24" fillId="0" borderId="0" xfId="0" applyFont="1" applyFill="1" applyBorder="1" applyAlignment="1">
      <alignment horizontal="left"/>
    </xf>
    <xf numFmtId="0" fontId="45" fillId="0" borderId="0" xfId="0" applyFont="1" applyFill="1" applyBorder="1" applyAlignment="1">
      <alignment horizontal="left"/>
    </xf>
    <xf numFmtId="0" fontId="42" fillId="0" borderId="10" xfId="0" applyNumberFormat="1" applyFont="1" applyFill="1" applyBorder="1" applyAlignment="1">
      <alignment horizontal="center"/>
    </xf>
    <xf numFmtId="0" fontId="1" fillId="7" borderId="10" xfId="0" applyFont="1" applyFill="1" applyBorder="1" applyAlignment="1" applyProtection="1">
      <alignment horizontal="center"/>
    </xf>
    <xf numFmtId="0" fontId="1" fillId="7" borderId="11" xfId="0" applyFont="1" applyFill="1" applyBorder="1" applyAlignment="1" applyProtection="1">
      <alignment horizontal="center"/>
    </xf>
    <xf numFmtId="0" fontId="1" fillId="7" borderId="12" xfId="0" applyFont="1" applyFill="1" applyBorder="1" applyAlignment="1" applyProtection="1">
      <alignment horizontal="center"/>
    </xf>
    <xf numFmtId="2" fontId="13" fillId="5" borderId="34" xfId="0" applyNumberFormat="1" applyFont="1" applyFill="1" applyBorder="1" applyAlignment="1">
      <alignment horizontal="center" vertical="center"/>
    </xf>
    <xf numFmtId="2" fontId="13" fillId="5" borderId="38" xfId="0" applyNumberFormat="1" applyFont="1" applyFill="1" applyBorder="1" applyAlignment="1">
      <alignment horizontal="center" vertical="center"/>
    </xf>
    <xf numFmtId="2" fontId="13" fillId="5" borderId="50" xfId="0" applyNumberFormat="1" applyFont="1" applyFill="1" applyBorder="1" applyAlignment="1">
      <alignment horizontal="center" vertical="center"/>
    </xf>
    <xf numFmtId="0" fontId="13" fillId="6" borderId="34" xfId="0" applyFont="1" applyFill="1" applyBorder="1" applyAlignment="1">
      <alignment horizontal="center"/>
    </xf>
    <xf numFmtId="0" fontId="13" fillId="6" borderId="50" xfId="0" applyFont="1" applyFill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3" fillId="0" borderId="41" xfId="0" applyFont="1" applyBorder="1" applyAlignment="1">
      <alignment horizontal="left"/>
    </xf>
    <xf numFmtId="0" fontId="23" fillId="0" borderId="27" xfId="0" applyFont="1" applyBorder="1" applyAlignment="1" applyProtection="1">
      <alignment horizontal="center" vertical="center"/>
      <protection locked="0"/>
    </xf>
    <xf numFmtId="0" fontId="23" fillId="0" borderId="5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59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23" fillId="0" borderId="60" xfId="0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14" fillId="0" borderId="17" xfId="0" applyNumberFormat="1" applyFont="1" applyBorder="1" applyAlignment="1">
      <alignment horizontal="center" vertical="center" wrapText="1"/>
    </xf>
    <xf numFmtId="165" fontId="14" fillId="0" borderId="28" xfId="0" applyNumberFormat="1" applyFont="1" applyBorder="1" applyAlignment="1">
      <alignment horizontal="center" vertical="center" wrapText="1"/>
    </xf>
    <xf numFmtId="0" fontId="46" fillId="0" borderId="54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47" fillId="0" borderId="1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77777"/>
      <color rgb="FFFFFF99"/>
      <color rgb="FFDDDDDD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38100</xdr:colOff>
      <xdr:row>7</xdr:row>
      <xdr:rowOff>19050</xdr:rowOff>
    </xdr:from>
    <xdr:to>
      <xdr:col>24</xdr:col>
      <xdr:colOff>285750</xdr:colOff>
      <xdr:row>9</xdr:row>
      <xdr:rowOff>66675</xdr:rowOff>
    </xdr:to>
    <xdr:pic>
      <xdr:nvPicPr>
        <xdr:cNvPr id="3" name="Picture 20" descr="Coulomb_Equatio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96475" y="1495425"/>
          <a:ext cx="23145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36"/>
  <sheetViews>
    <sheetView tabSelected="1" zoomScale="90" zoomScaleNormal="90" workbookViewId="0">
      <selection activeCell="Z26" sqref="Z26"/>
    </sheetView>
  </sheetViews>
  <sheetFormatPr defaultRowHeight="15" x14ac:dyDescent="0.25"/>
  <cols>
    <col min="1" max="1" width="10" style="5" customWidth="1"/>
    <col min="2" max="2" width="13.85546875" style="5" customWidth="1"/>
    <col min="3" max="3" width="7" style="6" bestFit="1" customWidth="1"/>
    <col min="4" max="4" width="6.42578125" style="6" customWidth="1"/>
    <col min="5" max="5" width="5.140625" style="6" customWidth="1"/>
    <col min="6" max="6" width="10" style="6" customWidth="1"/>
    <col min="7" max="7" width="9.85546875" style="5" customWidth="1"/>
    <col min="8" max="8" width="7.85546875" style="5" customWidth="1"/>
    <col min="9" max="9" width="7.5703125" style="10" customWidth="1"/>
    <col min="10" max="11" width="7.7109375" style="7" customWidth="1"/>
    <col min="12" max="12" width="7" style="6" bestFit="1" customWidth="1"/>
    <col min="13" max="13" width="7.5703125" style="6" customWidth="1"/>
    <col min="14" max="14" width="9.7109375" style="6" bestFit="1" customWidth="1"/>
    <col min="15" max="15" width="5.5703125" style="6" customWidth="1"/>
    <col min="16" max="16" width="10" style="28" customWidth="1"/>
    <col min="17" max="17" width="7" style="28" customWidth="1"/>
    <col min="18" max="18" width="6.42578125" style="6" customWidth="1"/>
    <col min="19" max="19" width="7.28515625" style="6" customWidth="1"/>
    <col min="20" max="20" width="8.7109375" style="20" customWidth="1"/>
    <col min="21" max="21" width="7" style="9" customWidth="1"/>
    <col min="22" max="22" width="7.7109375" style="6" customWidth="1"/>
    <col min="23" max="23" width="8.140625" style="9" customWidth="1"/>
    <col min="24" max="24" width="8.140625" style="10" customWidth="1"/>
    <col min="25" max="26" width="8.85546875" style="10" customWidth="1"/>
    <col min="27" max="27" width="8.140625" style="10" customWidth="1"/>
    <col min="28" max="28" width="6.85546875" style="328" customWidth="1"/>
    <col min="29" max="29" width="8.85546875" style="328" customWidth="1"/>
    <col min="30" max="30" width="10" style="337" customWidth="1"/>
    <col min="31" max="31" width="18" style="328" hidden="1" customWidth="1"/>
    <col min="32" max="32" width="5.42578125" style="86" customWidth="1"/>
    <col min="33" max="33" width="7" style="350" customWidth="1"/>
    <col min="34" max="34" width="6.5703125" style="500" customWidth="1"/>
    <col min="35" max="35" width="6.42578125" style="350" customWidth="1"/>
    <col min="36" max="36" width="7.42578125" style="48" customWidth="1"/>
    <col min="37" max="37" width="5.85546875" style="1" customWidth="1"/>
    <col min="38" max="38" width="5.42578125" style="86" customWidth="1"/>
    <col min="39" max="39" width="9" style="5" customWidth="1"/>
    <col min="40" max="40" width="8.5703125" style="48" customWidth="1"/>
    <col min="41" max="41" width="7.42578125" style="528" customWidth="1"/>
    <col min="42" max="42" width="7.42578125" style="86" customWidth="1"/>
    <col min="43" max="44" width="8.140625" style="86" customWidth="1"/>
    <col min="45" max="45" width="5.42578125" style="86" customWidth="1"/>
    <col min="46" max="46" width="5.42578125" style="48" customWidth="1"/>
    <col min="47" max="47" width="6.42578125" style="1" customWidth="1"/>
    <col min="48" max="48" width="7" style="503" customWidth="1"/>
    <col min="49" max="49" width="7" style="86" customWidth="1"/>
    <col min="50" max="50" width="5.42578125" style="86" customWidth="1"/>
    <col min="51" max="51" width="6.42578125" style="521" customWidth="1"/>
    <col min="52" max="53" width="7" style="5" customWidth="1"/>
    <col min="54" max="54" width="5.42578125" style="86" customWidth="1"/>
    <col min="55" max="55" width="7.42578125" style="5" customWidth="1"/>
    <col min="56" max="56" width="6.85546875" style="5" customWidth="1"/>
    <col min="57" max="57" width="8" style="5" customWidth="1"/>
    <col min="58" max="58" width="7.85546875" style="5" customWidth="1"/>
    <col min="59" max="59" width="5.85546875" style="5" customWidth="1"/>
    <col min="60" max="60" width="8.7109375" style="5" customWidth="1"/>
    <col min="61" max="61" width="7.85546875" style="5" customWidth="1"/>
    <col min="62" max="16384" width="9.140625" style="5"/>
  </cols>
  <sheetData>
    <row r="1" spans="1:63" ht="16.5" thickBot="1" x14ac:dyDescent="0.3">
      <c r="A1" s="751" t="s">
        <v>517</v>
      </c>
      <c r="B1" s="755" t="s">
        <v>521</v>
      </c>
      <c r="C1" s="756"/>
      <c r="D1" s="757"/>
      <c r="E1" s="434"/>
      <c r="G1" s="452"/>
      <c r="H1" s="452"/>
      <c r="I1" s="452"/>
      <c r="J1" s="434"/>
      <c r="K1" s="469" t="s">
        <v>467</v>
      </c>
      <c r="L1" s="453"/>
      <c r="M1" s="434"/>
      <c r="N1" s="434"/>
      <c r="O1" s="434"/>
      <c r="P1" s="457"/>
      <c r="Q1" s="458" t="s">
        <v>442</v>
      </c>
      <c r="R1" s="456"/>
      <c r="S1" s="456"/>
      <c r="T1" s="456"/>
      <c r="U1" s="679"/>
      <c r="V1" s="454" t="s">
        <v>447</v>
      </c>
      <c r="W1" s="455"/>
      <c r="X1" s="483"/>
      <c r="Y1" s="580"/>
      <c r="Z1" s="484" t="s">
        <v>469</v>
      </c>
      <c r="AA1" s="650" t="s">
        <v>492</v>
      </c>
      <c r="AB1" s="458"/>
      <c r="AC1" s="456"/>
      <c r="AD1" s="455"/>
      <c r="AE1" s="558" t="s">
        <v>479</v>
      </c>
      <c r="AF1" s="480"/>
      <c r="AG1" s="237"/>
      <c r="AH1" s="433"/>
      <c r="AI1" s="482"/>
      <c r="AJ1" s="328"/>
      <c r="AK1" s="328"/>
      <c r="AL1" s="480"/>
      <c r="AM1" s="528"/>
      <c r="AN1" s="328"/>
      <c r="AO1" s="328"/>
      <c r="AP1" s="480"/>
      <c r="AQ1" s="433"/>
      <c r="AR1" s="433"/>
      <c r="AS1" s="480"/>
      <c r="AT1" s="573"/>
      <c r="AU1" s="328"/>
      <c r="AV1" s="328"/>
      <c r="AW1" s="528"/>
      <c r="AX1" s="328"/>
      <c r="AY1" s="328"/>
      <c r="AZ1" s="328"/>
      <c r="BA1" s="328"/>
      <c r="BB1" s="480"/>
    </row>
    <row r="2" spans="1:63" ht="16.5" thickBot="1" x14ac:dyDescent="0.3">
      <c r="A2" s="751" t="s">
        <v>518</v>
      </c>
      <c r="B2" s="755">
        <v>115094</v>
      </c>
      <c r="C2" s="756"/>
      <c r="D2" s="757"/>
      <c r="G2" s="7"/>
      <c r="H2" s="7"/>
      <c r="I2" s="7"/>
      <c r="J2" s="6"/>
      <c r="K2" s="28"/>
      <c r="L2" s="28"/>
      <c r="O2" s="457"/>
      <c r="P2" s="581"/>
      <c r="Q2" s="723" t="s">
        <v>485</v>
      </c>
      <c r="R2" s="765">
        <v>51165</v>
      </c>
      <c r="S2" s="765"/>
      <c r="T2" s="678" t="s">
        <v>482</v>
      </c>
      <c r="U2" s="680"/>
      <c r="V2" s="719" t="s">
        <v>506</v>
      </c>
      <c r="W2" s="733">
        <v>1.75</v>
      </c>
      <c r="X2" s="485"/>
      <c r="Y2" s="719" t="s">
        <v>508</v>
      </c>
      <c r="Z2" s="733">
        <v>1</v>
      </c>
      <c r="AA2" s="599"/>
      <c r="AB2" s="763" t="s">
        <v>496</v>
      </c>
      <c r="AC2" s="763"/>
      <c r="AD2" s="764"/>
      <c r="AE2" s="557" t="s">
        <v>451</v>
      </c>
      <c r="AF2" s="480"/>
      <c r="AG2" s="237"/>
      <c r="AH2" s="480"/>
      <c r="AI2" s="481"/>
      <c r="AJ2" s="328"/>
      <c r="AK2" s="328"/>
      <c r="AL2" s="480"/>
      <c r="AM2" s="528"/>
      <c r="AN2" s="328"/>
      <c r="AO2" s="328"/>
      <c r="AP2" s="480"/>
      <c r="AQ2" s="480"/>
      <c r="AR2" s="480"/>
      <c r="AS2" s="480"/>
      <c r="AT2" s="573"/>
      <c r="AU2" s="328"/>
      <c r="AV2" s="328"/>
      <c r="AW2" s="528"/>
      <c r="AX2" s="328"/>
      <c r="AY2" s="328"/>
      <c r="AZ2" s="328"/>
      <c r="BA2" s="328"/>
      <c r="BB2" s="480"/>
    </row>
    <row r="3" spans="1:63" ht="16.5" thickBot="1" x14ac:dyDescent="0.3">
      <c r="A3" s="97" t="s">
        <v>64</v>
      </c>
      <c r="B3" s="32"/>
      <c r="C3" s="33"/>
      <c r="D3" s="33"/>
      <c r="E3" s="33"/>
      <c r="F3" s="33"/>
      <c r="G3" s="35"/>
      <c r="H3" s="34"/>
      <c r="I3" s="35"/>
      <c r="J3" s="33"/>
      <c r="K3" s="36"/>
      <c r="L3" s="28"/>
      <c r="O3" s="681"/>
      <c r="P3" s="24"/>
      <c r="Q3" s="6"/>
      <c r="R3" s="721" t="s">
        <v>501</v>
      </c>
      <c r="S3" s="718">
        <v>0</v>
      </c>
      <c r="U3" s="677"/>
      <c r="V3" s="727" t="s">
        <v>507</v>
      </c>
      <c r="W3" s="734">
        <v>1.5</v>
      </c>
      <c r="X3" s="486"/>
      <c r="Y3" s="719" t="s">
        <v>509</v>
      </c>
      <c r="Z3" s="735">
        <v>1</v>
      </c>
      <c r="AA3" s="651"/>
      <c r="AB3" s="652"/>
      <c r="AC3" s="653"/>
      <c r="AD3" s="654"/>
      <c r="AE3" s="557" t="s">
        <v>475</v>
      </c>
      <c r="AF3" s="480"/>
      <c r="AG3" s="237"/>
      <c r="AH3" s="433"/>
      <c r="AI3" s="235"/>
      <c r="AJ3" s="328"/>
      <c r="AK3" s="328"/>
      <c r="AL3" s="480"/>
      <c r="AM3" s="528"/>
      <c r="AN3" s="328"/>
      <c r="AO3" s="328"/>
      <c r="AP3" s="480"/>
      <c r="AQ3" s="433"/>
      <c r="AR3" s="433"/>
      <c r="AS3" s="480"/>
      <c r="AT3" s="573"/>
      <c r="AU3" s="328"/>
      <c r="AV3" s="328"/>
      <c r="AW3" s="528"/>
      <c r="AX3" s="328"/>
      <c r="AY3" s="328"/>
      <c r="AZ3" s="328"/>
      <c r="BA3" s="328"/>
      <c r="BB3" s="480"/>
    </row>
    <row r="4" spans="1:63" s="11" customFormat="1" ht="16.5" thickBot="1" x14ac:dyDescent="0.35">
      <c r="A4" s="37" t="s">
        <v>51</v>
      </c>
      <c r="B4" s="785" t="s">
        <v>515</v>
      </c>
      <c r="C4" s="776" t="s">
        <v>516</v>
      </c>
      <c r="D4" s="777"/>
      <c r="E4" s="778"/>
      <c r="F4" s="466" t="s">
        <v>456</v>
      </c>
      <c r="G4" s="450" t="s">
        <v>78</v>
      </c>
      <c r="H4" s="428" t="s">
        <v>56</v>
      </c>
      <c r="I4" s="428" t="s">
        <v>59</v>
      </c>
      <c r="J4" s="46" t="s">
        <v>70</v>
      </c>
      <c r="K4" s="38" t="s">
        <v>62</v>
      </c>
      <c r="L4" s="29" t="s">
        <v>77</v>
      </c>
      <c r="M4" s="445" t="s">
        <v>74</v>
      </c>
      <c r="N4" s="21" t="s">
        <v>52</v>
      </c>
      <c r="O4" s="4"/>
      <c r="P4" s="459"/>
      <c r="Q4" s="581"/>
      <c r="R4" s="722" t="s">
        <v>497</v>
      </c>
      <c r="S4" s="718"/>
      <c r="T4" s="24"/>
      <c r="U4" s="584"/>
      <c r="V4" s="671"/>
      <c r="W4" s="647"/>
      <c r="X4" s="648"/>
      <c r="Y4" s="490"/>
      <c r="Z4" s="649"/>
      <c r="AA4" s="644"/>
      <c r="AB4" s="645" t="s">
        <v>491</v>
      </c>
      <c r="AC4" s="643">
        <v>1285</v>
      </c>
      <c r="AD4" s="646" t="s">
        <v>444</v>
      </c>
      <c r="AE4" s="557" t="s">
        <v>480</v>
      </c>
      <c r="AF4" s="575"/>
      <c r="AG4" s="214"/>
      <c r="AH4" s="24"/>
      <c r="AI4" s="16"/>
      <c r="AJ4" s="574"/>
      <c r="AK4" s="24"/>
      <c r="AL4" s="575"/>
      <c r="AM4" s="576"/>
      <c r="AN4" s="24"/>
      <c r="AO4" s="24"/>
      <c r="AP4" s="575"/>
      <c r="AQ4" s="24"/>
      <c r="AR4" s="24"/>
      <c r="AS4" s="575"/>
      <c r="AT4" s="577"/>
      <c r="AU4" s="24"/>
      <c r="AV4" s="24"/>
      <c r="AW4" s="576"/>
      <c r="AX4" s="24"/>
      <c r="AY4" s="24"/>
      <c r="AZ4" s="24"/>
      <c r="BA4" s="24"/>
      <c r="BB4" s="575"/>
    </row>
    <row r="5" spans="1:63" s="11" customFormat="1" x14ac:dyDescent="0.25">
      <c r="A5" s="39" t="s">
        <v>52</v>
      </c>
      <c r="B5" s="786"/>
      <c r="C5" s="779"/>
      <c r="D5" s="780"/>
      <c r="E5" s="781"/>
      <c r="F5" s="467" t="s">
        <v>54</v>
      </c>
      <c r="G5" s="45" t="s">
        <v>61</v>
      </c>
      <c r="H5" s="430" t="s">
        <v>57</v>
      </c>
      <c r="I5" s="430" t="s">
        <v>454</v>
      </c>
      <c r="J5" s="8" t="s">
        <v>61</v>
      </c>
      <c r="K5" s="40"/>
      <c r="L5" s="30" t="s">
        <v>54</v>
      </c>
      <c r="M5" s="447"/>
      <c r="N5" s="446" t="s">
        <v>455</v>
      </c>
      <c r="O5" s="4"/>
      <c r="P5" s="459"/>
      <c r="Q5" s="433"/>
      <c r="R5" s="719" t="s">
        <v>502</v>
      </c>
      <c r="S5" s="718">
        <v>28</v>
      </c>
      <c r="T5" s="670" t="s">
        <v>443</v>
      </c>
      <c r="U5" s="24"/>
      <c r="V5" s="24"/>
      <c r="W5" s="24"/>
      <c r="X5" s="24"/>
      <c r="Y5" s="675"/>
      <c r="Z5" s="676"/>
      <c r="AA5" s="641" t="s">
        <v>487</v>
      </c>
      <c r="AB5" s="642"/>
      <c r="AC5" s="480"/>
      <c r="AD5" s="460"/>
      <c r="AE5" s="557" t="s">
        <v>477</v>
      </c>
      <c r="AF5" s="575"/>
      <c r="AG5" s="214"/>
      <c r="AH5" s="24"/>
      <c r="AI5" s="16"/>
      <c r="AJ5" s="574"/>
      <c r="AK5" s="24"/>
      <c r="AL5" s="575"/>
      <c r="AM5" s="576"/>
      <c r="AN5" s="24"/>
      <c r="AO5" s="24"/>
      <c r="AP5" s="575"/>
      <c r="AQ5" s="24"/>
      <c r="AR5" s="24"/>
      <c r="AS5" s="575"/>
      <c r="AT5" s="577"/>
      <c r="AU5" s="24"/>
      <c r="AV5" s="24"/>
      <c r="AW5" s="576"/>
      <c r="AX5" s="24"/>
      <c r="AY5" s="24"/>
      <c r="AZ5" s="24"/>
      <c r="BA5" s="24"/>
      <c r="BB5" s="575"/>
    </row>
    <row r="6" spans="1:63" ht="15.75" x14ac:dyDescent="0.3">
      <c r="A6" s="41" t="s">
        <v>53</v>
      </c>
      <c r="B6" s="787"/>
      <c r="C6" s="782"/>
      <c r="D6" s="783"/>
      <c r="E6" s="784"/>
      <c r="F6" s="468" t="s">
        <v>55</v>
      </c>
      <c r="G6" s="451" t="s">
        <v>79</v>
      </c>
      <c r="H6" s="432" t="s">
        <v>58</v>
      </c>
      <c r="I6" s="432" t="s">
        <v>60</v>
      </c>
      <c r="J6" s="47" t="s">
        <v>69</v>
      </c>
      <c r="K6" s="42" t="s">
        <v>63</v>
      </c>
      <c r="L6" s="31" t="s">
        <v>75</v>
      </c>
      <c r="M6" s="449" t="s">
        <v>42</v>
      </c>
      <c r="N6" s="448" t="s">
        <v>413</v>
      </c>
      <c r="P6" s="334"/>
      <c r="Q6" s="24"/>
      <c r="R6" s="723" t="s">
        <v>503</v>
      </c>
      <c r="S6" s="716">
        <f>phi*2/3</f>
        <v>18.666666666666668</v>
      </c>
      <c r="T6" s="670" t="s">
        <v>443</v>
      </c>
      <c r="U6" s="582"/>
      <c r="V6" s="587"/>
      <c r="W6" s="579" t="s">
        <v>511</v>
      </c>
      <c r="X6" s="682"/>
      <c r="Y6" s="672" t="s">
        <v>444</v>
      </c>
      <c r="Z6" s="459"/>
      <c r="AA6" s="433"/>
      <c r="AB6" s="728" t="s">
        <v>484</v>
      </c>
      <c r="AC6" s="718"/>
      <c r="AD6" s="461" t="s">
        <v>444</v>
      </c>
      <c r="AE6" s="557" t="s">
        <v>476</v>
      </c>
      <c r="AF6" s="480"/>
      <c r="AG6" s="237"/>
      <c r="AH6" s="328"/>
      <c r="AI6" s="235"/>
      <c r="AJ6" s="578"/>
      <c r="AK6" s="328"/>
      <c r="AL6" s="480"/>
      <c r="AM6" s="528"/>
      <c r="AN6" s="328"/>
      <c r="AO6" s="328"/>
      <c r="AP6" s="480"/>
      <c r="AQ6" s="328"/>
      <c r="AR6" s="328"/>
      <c r="AS6" s="480"/>
      <c r="AT6" s="573"/>
      <c r="AU6" s="328"/>
      <c r="AV6" s="328"/>
      <c r="AW6" s="528"/>
      <c r="AX6" s="328"/>
      <c r="AY6" s="328"/>
      <c r="AZ6" s="328"/>
      <c r="BA6" s="328"/>
      <c r="BB6" s="480"/>
    </row>
    <row r="7" spans="1:63" ht="18.75" customHeight="1" x14ac:dyDescent="0.25">
      <c r="A7" s="43">
        <v>1</v>
      </c>
      <c r="B7" s="766" t="s">
        <v>520</v>
      </c>
      <c r="C7" s="767"/>
      <c r="D7" s="767"/>
      <c r="E7" s="767"/>
      <c r="F7" s="767"/>
      <c r="G7" s="767"/>
      <c r="H7" s="767"/>
      <c r="I7" s="767"/>
      <c r="J7" s="767"/>
      <c r="K7" s="767"/>
      <c r="L7" s="767"/>
      <c r="M7" s="767"/>
      <c r="N7" s="768"/>
      <c r="P7" s="459"/>
      <c r="Q7" s="24"/>
      <c r="R7" s="720" t="s">
        <v>504</v>
      </c>
      <c r="S7" s="717">
        <v>5</v>
      </c>
      <c r="T7" s="670" t="s">
        <v>443</v>
      </c>
      <c r="U7" s="470"/>
      <c r="V7" s="587"/>
      <c r="W7" s="587"/>
      <c r="X7" s="588"/>
      <c r="Y7" s="672"/>
      <c r="Z7" s="459"/>
      <c r="AA7" s="24"/>
      <c r="AB7" s="729" t="s">
        <v>486</v>
      </c>
      <c r="AC7" s="731"/>
      <c r="AD7" s="461" t="s">
        <v>443</v>
      </c>
      <c r="AF7" s="480"/>
      <c r="AG7" s="499"/>
      <c r="AH7" s="328"/>
      <c r="AI7" s="235"/>
      <c r="AJ7" s="578"/>
      <c r="AK7" s="328"/>
      <c r="AL7" s="480"/>
      <c r="AM7" s="528"/>
      <c r="AN7" s="328"/>
      <c r="AO7" s="328"/>
      <c r="AP7" s="480"/>
      <c r="AQ7" s="328"/>
      <c r="AR7" s="328"/>
      <c r="AS7" s="480"/>
      <c r="AT7" s="573"/>
      <c r="AU7" s="328"/>
      <c r="AV7" s="328"/>
      <c r="AW7" s="528"/>
      <c r="AX7" s="328"/>
      <c r="AY7" s="328"/>
      <c r="AZ7" s="328"/>
      <c r="BA7" s="328"/>
      <c r="BB7" s="480"/>
    </row>
    <row r="8" spans="1:63" ht="15" customHeight="1" thickBot="1" x14ac:dyDescent="0.3">
      <c r="A8" s="43">
        <v>2</v>
      </c>
      <c r="B8" s="769"/>
      <c r="C8" s="770"/>
      <c r="D8" s="770"/>
      <c r="E8" s="770"/>
      <c r="F8" s="770"/>
      <c r="G8" s="770"/>
      <c r="H8" s="770"/>
      <c r="I8" s="770"/>
      <c r="J8" s="770"/>
      <c r="K8" s="770"/>
      <c r="L8" s="770"/>
      <c r="M8" s="770"/>
      <c r="N8" s="771"/>
      <c r="P8" s="459"/>
      <c r="Q8" s="581"/>
      <c r="R8" s="719" t="s">
        <v>505</v>
      </c>
      <c r="S8" s="716">
        <v>0</v>
      </c>
      <c r="T8" s="433" t="s">
        <v>443</v>
      </c>
      <c r="U8" s="582"/>
      <c r="V8" s="587"/>
      <c r="W8" s="587"/>
      <c r="X8" s="588"/>
      <c r="Y8" s="672"/>
      <c r="Z8" s="655"/>
      <c r="AA8" s="593"/>
      <c r="AB8" s="730" t="s">
        <v>483</v>
      </c>
      <c r="AC8" s="732"/>
      <c r="AD8" s="594" t="s">
        <v>444</v>
      </c>
      <c r="AE8" s="558" t="s">
        <v>493</v>
      </c>
      <c r="AF8" s="480"/>
      <c r="AG8" s="499"/>
      <c r="AH8" s="328"/>
      <c r="AI8" s="235"/>
      <c r="AJ8" s="578"/>
      <c r="AK8" s="328"/>
      <c r="AL8" s="480"/>
      <c r="AM8" s="528"/>
      <c r="AN8" s="328"/>
      <c r="AO8" s="328"/>
      <c r="AP8" s="480"/>
      <c r="AQ8" s="328"/>
      <c r="AR8" s="328"/>
      <c r="AS8" s="480"/>
      <c r="AT8" s="573"/>
      <c r="AU8" s="328"/>
      <c r="AV8" s="328"/>
      <c r="AW8" s="528"/>
      <c r="AX8" s="328"/>
      <c r="AY8" s="328"/>
      <c r="AZ8" s="328"/>
      <c r="BA8" s="328"/>
      <c r="BB8" s="480"/>
    </row>
    <row r="9" spans="1:63" ht="15" customHeight="1" thickBot="1" x14ac:dyDescent="0.4">
      <c r="A9" s="43">
        <v>3</v>
      </c>
      <c r="B9" s="769"/>
      <c r="C9" s="770"/>
      <c r="D9" s="770"/>
      <c r="E9" s="770"/>
      <c r="F9" s="770"/>
      <c r="G9" s="770"/>
      <c r="H9" s="770"/>
      <c r="I9" s="770"/>
      <c r="J9" s="770"/>
      <c r="K9" s="770"/>
      <c r="L9" s="770"/>
      <c r="M9" s="770"/>
      <c r="N9" s="771"/>
      <c r="P9" s="462"/>
      <c r="Q9" s="586"/>
      <c r="R9" s="724" t="s">
        <v>445</v>
      </c>
      <c r="S9" s="715">
        <f>IF(phi&gt;=beta,(COS(RADIANS(phi-alpha)))^2/((COS(RADIANS(alpha)))^2*COS(RADIANS(delta+alpha))*((1+SQRT(((SIN(RADIANS(delta+phi))*SIN(RADIANS(phi-beta)))/(COS(RADIANS(delta+alpha))*COS(RADIANS(beta-alpha))))))^2)),(COS(RADIANS(phi-alpha)))^2/((COS(RADIANS(alpha)))^2*COS(RADIANS(delta+alpha))*((1+SQRT(((SIN(RADIANS(delta+phi))*SIN(RADIANS(phi-phi)))/(COS(RADIANS(delta+alpha))*COS(RADIANS(beta-alpha))))))^2)))</f>
        <v>0.34306125790321823</v>
      </c>
      <c r="T9" s="463" t="s">
        <v>445</v>
      </c>
      <c r="U9" s="582"/>
      <c r="V9" s="587"/>
      <c r="W9" s="673"/>
      <c r="X9" s="659"/>
      <c r="Y9" s="612"/>
      <c r="AE9" s="557" t="s">
        <v>494</v>
      </c>
      <c r="AF9" s="48"/>
      <c r="AG9" s="499"/>
      <c r="AH9" s="5"/>
      <c r="AI9" s="1"/>
      <c r="AJ9" s="204"/>
      <c r="AK9" s="5"/>
      <c r="AL9" s="48"/>
      <c r="AM9" s="521"/>
      <c r="AN9" s="5"/>
      <c r="AO9" s="5"/>
      <c r="AP9" s="48"/>
      <c r="AQ9" s="5"/>
      <c r="AR9" s="5"/>
      <c r="AS9" s="48"/>
      <c r="AT9" s="503"/>
      <c r="AU9" s="5"/>
      <c r="AV9" s="5"/>
      <c r="AW9" s="521"/>
      <c r="AX9" s="5"/>
      <c r="AY9" s="5"/>
      <c r="BB9" s="48"/>
    </row>
    <row r="10" spans="1:63" ht="15" customHeight="1" thickBot="1" x14ac:dyDescent="0.3">
      <c r="A10" s="37">
        <v>4</v>
      </c>
      <c r="B10" s="769"/>
      <c r="C10" s="770"/>
      <c r="D10" s="770"/>
      <c r="E10" s="770"/>
      <c r="F10" s="770"/>
      <c r="G10" s="770"/>
      <c r="H10" s="770"/>
      <c r="I10" s="770"/>
      <c r="J10" s="770"/>
      <c r="K10" s="770"/>
      <c r="L10" s="770"/>
      <c r="M10" s="770"/>
      <c r="N10" s="771"/>
      <c r="P10" s="457"/>
      <c r="Q10" s="589"/>
      <c r="R10" s="725" t="s">
        <v>450</v>
      </c>
      <c r="S10" s="736">
        <v>1293</v>
      </c>
      <c r="T10" s="464" t="s">
        <v>444</v>
      </c>
      <c r="U10" s="583"/>
      <c r="V10" s="590"/>
      <c r="W10" s="590"/>
      <c r="X10" s="591"/>
      <c r="Y10" s="674"/>
      <c r="Z10" s="585"/>
      <c r="AA10" s="585"/>
      <c r="AB10" s="5"/>
      <c r="AD10" s="5"/>
      <c r="AE10" s="557" t="s">
        <v>495</v>
      </c>
      <c r="AF10" s="5"/>
      <c r="AG10" s="501"/>
      <c r="AH10" s="499"/>
      <c r="AI10" s="5"/>
      <c r="AJ10" s="1"/>
      <c r="AK10" s="204"/>
      <c r="AL10" s="5"/>
      <c r="AM10" s="48"/>
      <c r="AN10" s="521"/>
      <c r="AO10" s="5"/>
      <c r="AP10" s="5"/>
      <c r="AQ10" s="48"/>
      <c r="AR10" s="48"/>
      <c r="AS10" s="5"/>
      <c r="AT10" s="1"/>
      <c r="AU10" s="503"/>
      <c r="AV10" s="5"/>
      <c r="AW10" s="5"/>
      <c r="AX10" s="521"/>
      <c r="AY10" s="5"/>
      <c r="BB10" s="5"/>
    </row>
    <row r="11" spans="1:63" ht="15.75" customHeight="1" thickBot="1" x14ac:dyDescent="0.3">
      <c r="A11" s="43">
        <v>5</v>
      </c>
      <c r="B11" s="769"/>
      <c r="C11" s="770"/>
      <c r="D11" s="770"/>
      <c r="E11" s="770"/>
      <c r="F11" s="770"/>
      <c r="G11" s="770"/>
      <c r="H11" s="770"/>
      <c r="I11" s="770"/>
      <c r="J11" s="770"/>
      <c r="K11" s="770"/>
      <c r="L11" s="770"/>
      <c r="M11" s="770"/>
      <c r="N11" s="771"/>
      <c r="P11" s="592"/>
      <c r="Q11" s="586"/>
      <c r="R11" s="726" t="s">
        <v>458</v>
      </c>
      <c r="S11" s="737">
        <v>50</v>
      </c>
      <c r="T11" s="465" t="s">
        <v>457</v>
      </c>
      <c r="U11" s="10"/>
      <c r="V11" s="328"/>
      <c r="W11" s="328"/>
      <c r="X11" s="28"/>
      <c r="Y11" s="48"/>
      <c r="Z11" s="86"/>
      <c r="AA11" s="86"/>
      <c r="AB11" s="5"/>
      <c r="AD11" s="5"/>
      <c r="AE11" s="557" t="s">
        <v>496</v>
      </c>
      <c r="AF11" s="5"/>
      <c r="AG11" s="501"/>
      <c r="AH11" s="499"/>
      <c r="AI11" s="5"/>
      <c r="AJ11" s="1"/>
      <c r="AK11" s="204"/>
      <c r="AL11" s="5"/>
      <c r="AM11" s="48"/>
      <c r="AN11" s="521"/>
      <c r="AO11" s="5"/>
      <c r="AP11" s="5"/>
      <c r="AQ11" s="48"/>
      <c r="AR11" s="48"/>
      <c r="AS11" s="5"/>
      <c r="AT11" s="1"/>
      <c r="AU11" s="503"/>
      <c r="AV11" s="5"/>
      <c r="AW11" s="5"/>
      <c r="AX11" s="521"/>
      <c r="AY11" s="5"/>
      <c r="BB11" s="5"/>
    </row>
    <row r="12" spans="1:63" ht="15.75" customHeight="1" x14ac:dyDescent="0.25">
      <c r="A12" s="43">
        <v>6</v>
      </c>
      <c r="B12" s="769"/>
      <c r="C12" s="770"/>
      <c r="D12" s="770"/>
      <c r="E12" s="770"/>
      <c r="F12" s="770"/>
      <c r="G12" s="770"/>
      <c r="H12" s="770"/>
      <c r="I12" s="770"/>
      <c r="J12" s="770"/>
      <c r="K12" s="770"/>
      <c r="L12" s="770"/>
      <c r="M12" s="770"/>
      <c r="N12" s="771"/>
      <c r="P12" s="588"/>
      <c r="Q12" s="581"/>
      <c r="R12" s="723"/>
      <c r="S12" s="741"/>
      <c r="T12" s="742"/>
      <c r="U12" s="10"/>
      <c r="V12" s="328"/>
      <c r="W12" s="328"/>
      <c r="X12" s="28"/>
      <c r="Y12" s="48"/>
      <c r="Z12" s="86"/>
      <c r="AA12" s="86"/>
      <c r="AB12" s="5"/>
      <c r="AD12" s="5"/>
      <c r="AE12" s="557"/>
      <c r="AF12" s="5"/>
      <c r="AG12" s="501"/>
      <c r="AH12" s="740"/>
      <c r="AI12" s="5"/>
      <c r="AJ12" s="1"/>
      <c r="AK12" s="204"/>
      <c r="AL12" s="5"/>
      <c r="AM12" s="48"/>
      <c r="AN12" s="521"/>
      <c r="AO12" s="5"/>
      <c r="AP12" s="5"/>
      <c r="AQ12" s="48"/>
      <c r="AR12" s="48"/>
      <c r="AS12" s="5"/>
      <c r="AT12" s="1"/>
      <c r="AU12" s="503"/>
      <c r="AV12" s="5"/>
      <c r="AW12" s="5"/>
      <c r="AX12" s="521"/>
      <c r="AY12" s="5"/>
      <c r="BB12" s="5"/>
    </row>
    <row r="13" spans="1:63" ht="15.75" customHeight="1" thickBot="1" x14ac:dyDescent="0.3">
      <c r="A13" s="743">
        <v>7</v>
      </c>
      <c r="B13" s="772"/>
      <c r="C13" s="773"/>
      <c r="D13" s="773"/>
      <c r="E13" s="773"/>
      <c r="F13" s="773"/>
      <c r="G13" s="773"/>
      <c r="H13" s="773"/>
      <c r="I13" s="773"/>
      <c r="J13" s="773"/>
      <c r="K13" s="773"/>
      <c r="L13" s="773"/>
      <c r="M13" s="773"/>
      <c r="N13" s="774"/>
      <c r="P13" s="588"/>
      <c r="Q13" s="581"/>
      <c r="R13" s="723"/>
      <c r="S13" s="741"/>
      <c r="T13" s="742"/>
      <c r="U13" s="10"/>
      <c r="V13" s="328"/>
      <c r="W13" s="328"/>
      <c r="X13" s="28"/>
      <c r="Y13" s="48"/>
      <c r="Z13" s="86"/>
      <c r="AA13" s="86"/>
      <c r="AB13" s="5"/>
      <c r="AD13" s="5"/>
      <c r="AE13" s="557"/>
      <c r="AF13" s="5"/>
      <c r="AG13" s="501"/>
      <c r="AH13" s="749"/>
      <c r="AI13" s="5"/>
      <c r="AJ13" s="1"/>
      <c r="AK13" s="204"/>
      <c r="AL13" s="5"/>
      <c r="AM13" s="48"/>
      <c r="AN13" s="521"/>
      <c r="AO13" s="5"/>
      <c r="AP13" s="5"/>
      <c r="AQ13" s="48"/>
      <c r="AR13" s="48"/>
      <c r="AS13" s="5"/>
      <c r="AT13" s="1"/>
      <c r="AU13" s="503"/>
      <c r="AV13" s="5"/>
      <c r="AW13" s="5"/>
      <c r="AX13" s="521"/>
      <c r="AY13" s="5"/>
      <c r="BB13" s="5"/>
    </row>
    <row r="14" spans="1:63" ht="15.75" customHeight="1" thickBot="1" x14ac:dyDescent="0.25">
      <c r="A14" s="6"/>
      <c r="G14" s="6"/>
      <c r="I14" s="5"/>
      <c r="J14" s="10"/>
      <c r="L14" s="7"/>
      <c r="M14" s="7"/>
      <c r="P14" s="6"/>
      <c r="Q14" s="6"/>
      <c r="R14" s="28"/>
      <c r="S14" s="28"/>
      <c r="T14" s="6"/>
      <c r="U14" s="6"/>
      <c r="W14" s="6"/>
      <c r="X14" s="6"/>
      <c r="Y14" s="545"/>
      <c r="Z14" s="546" t="s">
        <v>452</v>
      </c>
      <c r="AA14" s="547"/>
      <c r="AB14" s="436"/>
      <c r="AC14" s="437" t="s">
        <v>453</v>
      </c>
      <c r="AD14" s="438"/>
      <c r="AE14" s="10"/>
      <c r="AF14" s="337"/>
      <c r="AG14" s="545"/>
      <c r="AH14" s="546" t="s">
        <v>452</v>
      </c>
      <c r="AI14" s="547"/>
      <c r="AJ14" s="86"/>
      <c r="AK14" s="328"/>
      <c r="AL14" s="337"/>
      <c r="AM14" s="761" t="s">
        <v>452</v>
      </c>
      <c r="AN14" s="762"/>
      <c r="AO14" s="758" t="s">
        <v>453</v>
      </c>
      <c r="AP14" s="759"/>
      <c r="AQ14" s="759"/>
      <c r="AR14" s="760"/>
      <c r="AS14" s="337"/>
      <c r="AT14" s="204"/>
      <c r="AU14" s="5"/>
      <c r="AV14" s="86"/>
      <c r="AW14" s="48"/>
      <c r="AX14" s="521"/>
      <c r="AY14" s="328"/>
      <c r="AZ14" s="328"/>
      <c r="BA14" s="48"/>
      <c r="BB14" s="337"/>
      <c r="BC14" s="86"/>
      <c r="BD14" s="503"/>
      <c r="BG14" s="521"/>
    </row>
    <row r="15" spans="1:63" ht="15.75" thickBot="1" x14ac:dyDescent="0.3">
      <c r="A15" s="409" t="s">
        <v>65</v>
      </c>
      <c r="B15" s="331"/>
      <c r="C15" s="332"/>
      <c r="D15" s="332"/>
      <c r="E15" s="332"/>
      <c r="F15" s="598"/>
      <c r="G15" s="564"/>
      <c r="H15" s="435" t="s">
        <v>441</v>
      </c>
      <c r="I15" s="410"/>
      <c r="J15" s="411"/>
      <c r="K15" s="412" t="s">
        <v>66</v>
      </c>
      <c r="L15" s="332"/>
      <c r="M15" s="332"/>
      <c r="N15" s="330"/>
      <c r="O15" s="91" t="s">
        <v>67</v>
      </c>
      <c r="P15" s="92"/>
      <c r="Q15" s="93" t="s">
        <v>68</v>
      </c>
      <c r="R15" s="94"/>
      <c r="S15" s="94"/>
      <c r="T15" s="95"/>
      <c r="U15" s="656" t="s">
        <v>73</v>
      </c>
      <c r="V15" s="96"/>
      <c r="W15" s="661" t="s">
        <v>72</v>
      </c>
      <c r="X15" s="662" t="s">
        <v>72</v>
      </c>
      <c r="Y15" s="548" t="s">
        <v>71</v>
      </c>
      <c r="Z15" s="549"/>
      <c r="AA15" s="550"/>
      <c r="AB15" s="439" t="s">
        <v>71</v>
      </c>
      <c r="AC15" s="440"/>
      <c r="AD15" s="744"/>
      <c r="AF15" s="328"/>
      <c r="AG15" s="361" t="s">
        <v>431</v>
      </c>
      <c r="AH15" s="393"/>
      <c r="AI15" s="394"/>
      <c r="AJ15" s="395"/>
      <c r="AK15" s="390" t="s">
        <v>436</v>
      </c>
      <c r="AL15" s="328"/>
      <c r="AM15" s="361" t="s">
        <v>459</v>
      </c>
      <c r="AN15" s="332"/>
      <c r="AO15" s="498"/>
      <c r="AP15" s="502"/>
      <c r="AQ15" s="498"/>
      <c r="AR15" s="498"/>
      <c r="AS15" s="328"/>
      <c r="AT15" s="487" t="s">
        <v>468</v>
      </c>
      <c r="AU15" s="488"/>
      <c r="AV15" s="489"/>
      <c r="AW15" s="490"/>
      <c r="AX15" s="523"/>
      <c r="AY15" s="489"/>
      <c r="AZ15" s="489"/>
      <c r="BA15" s="491"/>
      <c r="BB15" s="328"/>
      <c r="BC15" s="391" t="s">
        <v>434</v>
      </c>
      <c r="BD15" s="504"/>
      <c r="BE15" s="396"/>
      <c r="BF15" s="396"/>
      <c r="BG15" s="522"/>
      <c r="BH15" s="394"/>
      <c r="BI15" s="397"/>
      <c r="BK15" s="701"/>
    </row>
    <row r="16" spans="1:63" s="11" customFormat="1" ht="12.75" x14ac:dyDescent="0.2">
      <c r="A16" s="333" t="s">
        <v>31</v>
      </c>
      <c r="B16" s="23" t="s">
        <v>27</v>
      </c>
      <c r="C16" s="13" t="s">
        <v>23</v>
      </c>
      <c r="D16" s="13" t="s">
        <v>23</v>
      </c>
      <c r="E16" s="13" t="s">
        <v>25</v>
      </c>
      <c r="F16" s="428" t="s">
        <v>50</v>
      </c>
      <c r="G16" s="29" t="s">
        <v>422</v>
      </c>
      <c r="H16" s="25" t="s">
        <v>440</v>
      </c>
      <c r="I16" s="25" t="s">
        <v>440</v>
      </c>
      <c r="J16" s="429" t="s">
        <v>43</v>
      </c>
      <c r="K16" s="12" t="s">
        <v>37</v>
      </c>
      <c r="L16" s="13" t="s">
        <v>462</v>
      </c>
      <c r="M16" s="13" t="s">
        <v>474</v>
      </c>
      <c r="N16" s="98" t="s">
        <v>448</v>
      </c>
      <c r="O16" s="89" t="s">
        <v>0</v>
      </c>
      <c r="P16" s="29" t="s">
        <v>4</v>
      </c>
      <c r="Q16" s="44" t="s">
        <v>1</v>
      </c>
      <c r="R16" s="13" t="s">
        <v>1</v>
      </c>
      <c r="S16" s="13" t="s">
        <v>1</v>
      </c>
      <c r="T16" s="18" t="s">
        <v>1</v>
      </c>
      <c r="U16" s="657" t="s">
        <v>45</v>
      </c>
      <c r="V16" s="87" t="s">
        <v>47</v>
      </c>
      <c r="W16" s="663" t="s">
        <v>499</v>
      </c>
      <c r="X16" s="664" t="s">
        <v>500</v>
      </c>
      <c r="Y16" s="551" t="s">
        <v>19</v>
      </c>
      <c r="Z16" s="552" t="s">
        <v>17</v>
      </c>
      <c r="AA16" s="553" t="s">
        <v>17</v>
      </c>
      <c r="AB16" s="441" t="s">
        <v>19</v>
      </c>
      <c r="AC16" s="442" t="s">
        <v>17</v>
      </c>
      <c r="AD16" s="745" t="s">
        <v>17</v>
      </c>
      <c r="AF16" s="24"/>
      <c r="AG16" s="539" t="s">
        <v>437</v>
      </c>
      <c r="AH16" s="540" t="s">
        <v>437</v>
      </c>
      <c r="AI16" s="541" t="s">
        <v>83</v>
      </c>
      <c r="AJ16" s="14" t="s">
        <v>85</v>
      </c>
      <c r="AK16" s="359" t="s">
        <v>432</v>
      </c>
      <c r="AL16" s="24"/>
      <c r="AM16" s="471" t="s">
        <v>437</v>
      </c>
      <c r="AN16" s="472" t="s">
        <v>460</v>
      </c>
      <c r="AO16" s="509" t="s">
        <v>464</v>
      </c>
      <c r="AP16" s="510" t="s">
        <v>24</v>
      </c>
      <c r="AQ16" s="696" t="s">
        <v>470</v>
      </c>
      <c r="AR16" s="696" t="s">
        <v>510</v>
      </c>
      <c r="AS16" s="24"/>
      <c r="AT16" s="392" t="s">
        <v>83</v>
      </c>
      <c r="AU16" s="206" t="s">
        <v>83</v>
      </c>
      <c r="AV16" s="17" t="s">
        <v>85</v>
      </c>
      <c r="AW16" s="494" t="s">
        <v>19</v>
      </c>
      <c r="AX16" s="524" t="s">
        <v>432</v>
      </c>
      <c r="AY16" s="492" t="s">
        <v>432</v>
      </c>
      <c r="AZ16" s="493" t="s">
        <v>85</v>
      </c>
      <c r="BA16" s="495" t="s">
        <v>19</v>
      </c>
      <c r="BB16" s="24"/>
      <c r="BC16" s="517" t="s">
        <v>433</v>
      </c>
      <c r="BD16" s="529" t="s">
        <v>83</v>
      </c>
      <c r="BE16" s="506" t="s">
        <v>83</v>
      </c>
      <c r="BF16" s="535" t="s">
        <v>83</v>
      </c>
      <c r="BG16" s="533" t="s">
        <v>432</v>
      </c>
      <c r="BH16" s="205" t="s">
        <v>432</v>
      </c>
      <c r="BI16" s="538" t="s">
        <v>432</v>
      </c>
      <c r="BK16" s="702" t="s">
        <v>8</v>
      </c>
    </row>
    <row r="17" spans="1:69" s="11" customFormat="1" ht="12.75" x14ac:dyDescent="0.2">
      <c r="A17" s="334" t="s">
        <v>29</v>
      </c>
      <c r="B17" s="24" t="s">
        <v>8</v>
      </c>
      <c r="C17" s="16" t="s">
        <v>24</v>
      </c>
      <c r="D17" s="16" t="s">
        <v>24</v>
      </c>
      <c r="E17" s="16" t="s">
        <v>26</v>
      </c>
      <c r="F17" s="430" t="s">
        <v>421</v>
      </c>
      <c r="G17" s="30" t="s">
        <v>409</v>
      </c>
      <c r="H17" s="26" t="s">
        <v>35</v>
      </c>
      <c r="I17" s="26" t="s">
        <v>35</v>
      </c>
      <c r="J17" s="431" t="s">
        <v>41</v>
      </c>
      <c r="K17" s="15" t="s">
        <v>44</v>
      </c>
      <c r="L17" s="16" t="s">
        <v>44</v>
      </c>
      <c r="M17" s="16" t="s">
        <v>44</v>
      </c>
      <c r="N17" s="99" t="s">
        <v>2</v>
      </c>
      <c r="O17" s="90" t="s">
        <v>1</v>
      </c>
      <c r="P17" s="30" t="s">
        <v>5</v>
      </c>
      <c r="Q17" s="45" t="s">
        <v>8</v>
      </c>
      <c r="R17" s="16" t="s">
        <v>8</v>
      </c>
      <c r="S17" s="16" t="s">
        <v>8</v>
      </c>
      <c r="T17" s="19" t="s">
        <v>8</v>
      </c>
      <c r="U17" s="658" t="s">
        <v>7</v>
      </c>
      <c r="V17" s="88" t="s">
        <v>48</v>
      </c>
      <c r="W17" s="665" t="s">
        <v>21</v>
      </c>
      <c r="X17" s="360" t="s">
        <v>21</v>
      </c>
      <c r="Y17" s="554" t="s">
        <v>15</v>
      </c>
      <c r="Z17" s="555" t="s">
        <v>15</v>
      </c>
      <c r="AA17" s="556" t="s">
        <v>15</v>
      </c>
      <c r="AB17" s="443" t="s">
        <v>15</v>
      </c>
      <c r="AC17" s="444" t="s">
        <v>15</v>
      </c>
      <c r="AD17" s="746" t="s">
        <v>15</v>
      </c>
      <c r="AF17" s="24"/>
      <c r="AG17" s="542" t="s">
        <v>81</v>
      </c>
      <c r="AH17" s="543" t="s">
        <v>81</v>
      </c>
      <c r="AI17" s="544" t="s">
        <v>81</v>
      </c>
      <c r="AJ17" s="17" t="s">
        <v>27</v>
      </c>
      <c r="AK17" s="360" t="s">
        <v>27</v>
      </c>
      <c r="AL17" s="24"/>
      <c r="AM17" s="473" t="s">
        <v>17</v>
      </c>
      <c r="AN17" s="474" t="s">
        <v>17</v>
      </c>
      <c r="AO17" s="511" t="s">
        <v>17</v>
      </c>
      <c r="AP17" s="512" t="s">
        <v>481</v>
      </c>
      <c r="AQ17" s="697" t="s">
        <v>463</v>
      </c>
      <c r="AR17" s="697" t="s">
        <v>463</v>
      </c>
      <c r="AS17" s="24"/>
      <c r="AT17" s="392" t="s">
        <v>438</v>
      </c>
      <c r="AU17" s="206" t="s">
        <v>439</v>
      </c>
      <c r="AV17" s="17" t="s">
        <v>27</v>
      </c>
      <c r="AW17" s="495" t="s">
        <v>24</v>
      </c>
      <c r="AX17" s="525" t="s">
        <v>438</v>
      </c>
      <c r="AY17" s="206" t="s">
        <v>435</v>
      </c>
      <c r="AZ17" s="17" t="s">
        <v>27</v>
      </c>
      <c r="BA17" s="495" t="s">
        <v>24</v>
      </c>
      <c r="BB17" s="24"/>
      <c r="BC17" s="518" t="s">
        <v>27</v>
      </c>
      <c r="BD17" s="530" t="s">
        <v>27</v>
      </c>
      <c r="BE17" s="507" t="s">
        <v>473</v>
      </c>
      <c r="BF17" s="536" t="s">
        <v>433</v>
      </c>
      <c r="BG17" s="525" t="s">
        <v>27</v>
      </c>
      <c r="BH17" s="206" t="s">
        <v>473</v>
      </c>
      <c r="BI17" s="536" t="s">
        <v>433</v>
      </c>
      <c r="BK17" s="703" t="s">
        <v>433</v>
      </c>
    </row>
    <row r="18" spans="1:69" s="11" customFormat="1" ht="15.75" x14ac:dyDescent="0.3">
      <c r="A18" s="334"/>
      <c r="B18" s="24"/>
      <c r="C18" s="16" t="s">
        <v>7</v>
      </c>
      <c r="D18" s="16" t="s">
        <v>446</v>
      </c>
      <c r="E18" s="16"/>
      <c r="F18" s="430" t="s">
        <v>430</v>
      </c>
      <c r="G18" s="30" t="s">
        <v>1</v>
      </c>
      <c r="H18" s="26" t="s">
        <v>16</v>
      </c>
      <c r="I18" s="26" t="s">
        <v>16</v>
      </c>
      <c r="J18" s="431" t="s">
        <v>16</v>
      </c>
      <c r="K18" s="596" t="s">
        <v>489</v>
      </c>
      <c r="L18" s="597" t="s">
        <v>490</v>
      </c>
      <c r="M18" s="596" t="s">
        <v>488</v>
      </c>
      <c r="N18" s="99" t="s">
        <v>449</v>
      </c>
      <c r="O18" s="90" t="s">
        <v>2</v>
      </c>
      <c r="P18" s="30" t="s">
        <v>6</v>
      </c>
      <c r="Q18" s="45" t="s">
        <v>7</v>
      </c>
      <c r="R18" s="16" t="s">
        <v>9</v>
      </c>
      <c r="S18" s="16" t="s">
        <v>11</v>
      </c>
      <c r="T18" s="19" t="s">
        <v>13</v>
      </c>
      <c r="U18" s="658" t="s">
        <v>46</v>
      </c>
      <c r="V18" s="88" t="s">
        <v>49</v>
      </c>
      <c r="W18" s="665" t="s">
        <v>498</v>
      </c>
      <c r="X18" s="360" t="s">
        <v>498</v>
      </c>
      <c r="Y18" s="554" t="s">
        <v>16</v>
      </c>
      <c r="Z18" s="555" t="s">
        <v>20</v>
      </c>
      <c r="AA18" s="556" t="s">
        <v>16</v>
      </c>
      <c r="AB18" s="443" t="s">
        <v>16</v>
      </c>
      <c r="AC18" s="444" t="s">
        <v>20</v>
      </c>
      <c r="AD18" s="746" t="s">
        <v>16</v>
      </c>
      <c r="AF18" s="24"/>
      <c r="AG18" s="542"/>
      <c r="AH18" s="543"/>
      <c r="AI18" s="544"/>
      <c r="AJ18" s="17" t="s">
        <v>8</v>
      </c>
      <c r="AK18" s="360" t="s">
        <v>8</v>
      </c>
      <c r="AL18" s="24"/>
      <c r="AM18" s="473" t="s">
        <v>461</v>
      </c>
      <c r="AN18" s="474" t="s">
        <v>462</v>
      </c>
      <c r="AO18" s="511" t="s">
        <v>463</v>
      </c>
      <c r="AP18" s="512" t="s">
        <v>2</v>
      </c>
      <c r="AQ18" s="698" t="s">
        <v>471</v>
      </c>
      <c r="AR18" s="698" t="s">
        <v>471</v>
      </c>
      <c r="AS18" s="24"/>
      <c r="AT18" s="392"/>
      <c r="AU18" s="206" t="s">
        <v>81</v>
      </c>
      <c r="AV18" s="17" t="s">
        <v>8</v>
      </c>
      <c r="AW18" s="495" t="s">
        <v>7</v>
      </c>
      <c r="AX18" s="525"/>
      <c r="AY18" s="206" t="s">
        <v>81</v>
      </c>
      <c r="AZ18" s="17" t="s">
        <v>8</v>
      </c>
      <c r="BA18" s="495" t="s">
        <v>7</v>
      </c>
      <c r="BB18" s="24"/>
      <c r="BC18" s="518" t="s">
        <v>8</v>
      </c>
      <c r="BD18" s="530" t="s">
        <v>8</v>
      </c>
      <c r="BE18" s="507" t="s">
        <v>438</v>
      </c>
      <c r="BF18" s="534" t="s">
        <v>471</v>
      </c>
      <c r="BG18" s="525" t="s">
        <v>8</v>
      </c>
      <c r="BH18" s="206" t="s">
        <v>438</v>
      </c>
      <c r="BI18" s="534" t="s">
        <v>471</v>
      </c>
      <c r="BK18" s="703" t="s">
        <v>471</v>
      </c>
    </row>
    <row r="19" spans="1:69" x14ac:dyDescent="0.25">
      <c r="A19" s="599" t="s">
        <v>30</v>
      </c>
      <c r="B19" s="328" t="s">
        <v>28</v>
      </c>
      <c r="C19" s="434" t="s">
        <v>3</v>
      </c>
      <c r="D19" s="581" t="s">
        <v>34</v>
      </c>
      <c r="E19" s="434" t="s">
        <v>22</v>
      </c>
      <c r="F19" s="600" t="s">
        <v>28</v>
      </c>
      <c r="G19" s="601" t="s">
        <v>22</v>
      </c>
      <c r="H19" s="602" t="s">
        <v>358</v>
      </c>
      <c r="I19" s="452" t="s">
        <v>36</v>
      </c>
      <c r="J19" s="603" t="s">
        <v>42</v>
      </c>
      <c r="K19" s="8" t="s">
        <v>34</v>
      </c>
      <c r="L19" s="434" t="s">
        <v>34</v>
      </c>
      <c r="M19" s="581" t="s">
        <v>34</v>
      </c>
      <c r="N19" s="604" t="s">
        <v>34</v>
      </c>
      <c r="O19" s="605" t="s">
        <v>3</v>
      </c>
      <c r="P19" s="606" t="s">
        <v>3</v>
      </c>
      <c r="Q19" s="607" t="s">
        <v>3</v>
      </c>
      <c r="R19" s="434" t="s">
        <v>10</v>
      </c>
      <c r="S19" s="434" t="s">
        <v>12</v>
      </c>
      <c r="T19" s="608" t="s">
        <v>14</v>
      </c>
      <c r="U19" s="659" t="s">
        <v>3</v>
      </c>
      <c r="V19" s="612" t="s">
        <v>3</v>
      </c>
      <c r="W19" s="666" t="s">
        <v>22</v>
      </c>
      <c r="X19" s="667" t="s">
        <v>22</v>
      </c>
      <c r="Y19" s="609" t="s">
        <v>18</v>
      </c>
      <c r="Z19" s="791" t="s">
        <v>34</v>
      </c>
      <c r="AA19" s="610" t="s">
        <v>18</v>
      </c>
      <c r="AB19" s="611" t="s">
        <v>18</v>
      </c>
      <c r="AC19" s="792" t="s">
        <v>34</v>
      </c>
      <c r="AD19" s="747" t="s">
        <v>18</v>
      </c>
      <c r="AF19" s="328"/>
      <c r="AG19" s="632" t="s">
        <v>80</v>
      </c>
      <c r="AH19" s="633" t="s">
        <v>82</v>
      </c>
      <c r="AI19" s="634" t="s">
        <v>84</v>
      </c>
      <c r="AJ19" s="635" t="s">
        <v>28</v>
      </c>
      <c r="AK19" s="636" t="s">
        <v>12</v>
      </c>
      <c r="AL19" s="328"/>
      <c r="AM19" s="475" t="s">
        <v>465</v>
      </c>
      <c r="AN19" s="476" t="s">
        <v>466</v>
      </c>
      <c r="AO19" s="513" t="s">
        <v>3</v>
      </c>
      <c r="AP19" s="514" t="s">
        <v>3</v>
      </c>
      <c r="AQ19" s="699" t="s">
        <v>472</v>
      </c>
      <c r="AR19" s="699" t="s">
        <v>472</v>
      </c>
      <c r="AS19" s="328"/>
      <c r="AT19" s="478" t="s">
        <v>84</v>
      </c>
      <c r="AU19" s="479" t="s">
        <v>63</v>
      </c>
      <c r="AV19" s="398" t="s">
        <v>28</v>
      </c>
      <c r="AW19" s="496" t="s">
        <v>3</v>
      </c>
      <c r="AX19" s="526" t="s">
        <v>12</v>
      </c>
      <c r="AY19" s="479" t="s">
        <v>63</v>
      </c>
      <c r="AZ19" s="398" t="s">
        <v>28</v>
      </c>
      <c r="BA19" s="496" t="s">
        <v>3</v>
      </c>
      <c r="BB19" s="328"/>
      <c r="BC19" s="519" t="s">
        <v>28</v>
      </c>
      <c r="BD19" s="531" t="s">
        <v>84</v>
      </c>
      <c r="BE19" s="508" t="s">
        <v>63</v>
      </c>
      <c r="BF19" s="572" t="s">
        <v>472</v>
      </c>
      <c r="BG19" s="526" t="s">
        <v>12</v>
      </c>
      <c r="BH19" s="479" t="s">
        <v>63</v>
      </c>
      <c r="BI19" s="572" t="s">
        <v>472</v>
      </c>
      <c r="BK19" s="704" t="s">
        <v>472</v>
      </c>
    </row>
    <row r="20" spans="1:69" s="400" customFormat="1" ht="12.75" x14ac:dyDescent="0.2">
      <c r="A20" s="613" t="s">
        <v>519</v>
      </c>
      <c r="B20" s="614" t="s">
        <v>90</v>
      </c>
      <c r="C20" s="615">
        <v>24</v>
      </c>
      <c r="D20" s="615">
        <v>5</v>
      </c>
      <c r="E20" s="695">
        <f t="shared" ref="E20" si="0">D20/(C20/12)</f>
        <v>2.5</v>
      </c>
      <c r="F20" s="616" t="s">
        <v>451</v>
      </c>
      <c r="G20" s="617">
        <v>0</v>
      </c>
      <c r="H20" s="754">
        <f>Shaft_Load</f>
        <v>51165</v>
      </c>
      <c r="I20" s="683">
        <f t="shared" ref="I20" si="1">H20/1000</f>
        <v>51.164999999999999</v>
      </c>
      <c r="J20" s="619">
        <v>250</v>
      </c>
      <c r="K20" s="620">
        <v>22.4</v>
      </c>
      <c r="L20" s="615">
        <v>18.100000000000001</v>
      </c>
      <c r="M20" s="615">
        <v>8</v>
      </c>
      <c r="N20" s="622">
        <v>8</v>
      </c>
      <c r="O20" s="790">
        <f>(K20+N20)*12</f>
        <v>364.79999999999995</v>
      </c>
      <c r="P20" s="623">
        <f t="shared" ref="P20:P22" si="2">IF(Method="Load Transfer Reduction",0,IF(Method="Ground Surface Drop",Drop*12,(Pile_Top-Wall_Base)*12))</f>
        <v>96</v>
      </c>
      <c r="Q20" s="624">
        <f t="shared" ref="Q20" si="3">C20</f>
        <v>24</v>
      </c>
      <c r="R20" s="621">
        <f>LOOKUP(B20,Lookups!A$5:A$265,Lookups!C$5:C$265)</f>
        <v>393</v>
      </c>
      <c r="S20" s="621">
        <f>LOOKUP(B20,Lookups!A$5:A$265,Lookups!D$5:D$265)</f>
        <v>15.5</v>
      </c>
      <c r="T20" s="625">
        <v>29000000</v>
      </c>
      <c r="U20" s="660">
        <f>LOOKUP(B20,Lookups!A$5:A$265,Lookups!G$5:G$265)</f>
        <v>14.623781769136514</v>
      </c>
      <c r="V20" s="631">
        <f>LOOKUP(B20,Lookups!A$5:A$265,Lookups!E$5:E$265)</f>
        <v>0.435</v>
      </c>
      <c r="W20" s="668">
        <f t="shared" ref="W20" si="4">IF(E20&gt;=3.75,1,IF(E20&lt;1,0.64*1^0.34,0.64*E20^0.34))</f>
        <v>0.87393589404506455</v>
      </c>
      <c r="X20" s="669">
        <f t="shared" ref="X20" si="5">IF(Method="Load Transfer Reduction",W20-W20/FoS,W20)</f>
        <v>0.87393589404506455</v>
      </c>
      <c r="Y20" s="626">
        <f t="shared" ref="Y20" si="6">(Ka*J20*D20/12)*LS_Factor*(1-eta)</f>
        <v>62.537208471940822</v>
      </c>
      <c r="Z20" s="627">
        <f>L20</f>
        <v>18.100000000000001</v>
      </c>
      <c r="AA20" s="628">
        <f t="shared" ref="AA20" si="7">((I20*1000)*(2/L20)*(1/12))*EH_Factor+Y20</f>
        <v>769.23610349956516</v>
      </c>
      <c r="AB20" s="629">
        <f t="shared" ref="AB20" si="8">Ka*J20*D20/12*(1-eta)</f>
        <v>35.735547698251899</v>
      </c>
      <c r="AC20" s="630">
        <f>L20</f>
        <v>18.100000000000001</v>
      </c>
      <c r="AD20" s="748">
        <f t="shared" ref="AD20" si="9">(I20*1000)*(2/L20)*(1/12)+AB20</f>
        <v>506.86814438333471</v>
      </c>
      <c r="AF20" s="399"/>
      <c r="AG20" s="637">
        <f>(LS_Factor*Ka*J20*(D20)*L20^2/2)+((EH_Factor*I20*1000)*(L20/3))</f>
        <v>585970.13920495531</v>
      </c>
      <c r="AH20" s="638">
        <f t="shared" ref="AH20" si="10">AG20/1000*12</f>
        <v>7031.641670459464</v>
      </c>
      <c r="AI20" s="639">
        <f t="shared" ref="AI20" si="11">AH20/(Flexure_Factor*Fy)</f>
        <v>140.63283340918929</v>
      </c>
      <c r="AJ20" s="413" t="str">
        <f>IF(C20=18,LOOKUP(AI20,Lookups!K$5:K$34,Lookups!L$5:L$34),IF(C20=24,LOOKUP(AI20,Lookups!P$5:P$91,Lookups!Q$5:Q$91),IF(C20=30,LOOKUP(AI20,Lookups!U$5:U$154,Lookups!V$5:V$154),IF(C20=36,LOOKUP(AI20,Lookups!Z$5:Z$196,Lookups!AA$5:AA$196),IF(C20=42,LOOKUP(AI20,Lookups!AE$5:AE$234,Lookups!AF$5:AF$234),IF(C20=48,LOOKUP(AI20,Lookups!AJ$5:AJ$260,Lookups!AK$5:AK$260),LOOKUP(AI20,Lookups!AO$5:AO$265,Lookups!AP$5:AP$265)))))))</f>
        <v>W12x106</v>
      </c>
      <c r="AK20" s="640">
        <f>LOOKUP(AJ20,Lookups!$A$5:$A$265,Lookups!$I$5:$I$265)</f>
        <v>6.6551</v>
      </c>
      <c r="AL20" s="399"/>
      <c r="AM20" s="570">
        <v>9805147</v>
      </c>
      <c r="AN20" s="571">
        <v>536047</v>
      </c>
      <c r="AO20" s="515"/>
      <c r="AP20" s="516">
        <f>IF(O20&lt;(K20*12),O20,K20*12)</f>
        <v>268.79999999999995</v>
      </c>
      <c r="AQ20" s="700" t="str">
        <f t="shared" ref="AQ20" si="12">IF(AO20&lt;=(AP20*0.01),"YES","NO")</f>
        <v>YES</v>
      </c>
      <c r="AR20" s="700" t="str">
        <f t="shared" ref="AR20" si="13">IF($X$6&gt;10, "N/A", IF(AO20&lt;=2,"YES","NO"))</f>
        <v>YES</v>
      </c>
      <c r="AS20" s="399"/>
      <c r="AT20" s="477">
        <f t="shared" ref="AT20" si="14">AM20/1000/(Flexure_Factor*Fy)</f>
        <v>196.10294000000002</v>
      </c>
      <c r="AU20" s="414">
        <f t="shared" ref="AU20" si="15">AT20/AI20</f>
        <v>1.3944321197697362</v>
      </c>
      <c r="AV20" s="413" t="str">
        <f>IF(C20=18,LOOKUP(AT20,Lookups!K$5:K$34,Lookups!L$5:L$34),IF(C20=24,LOOKUP(AT20,Lookups!P$5:P$91,Lookups!Q$5:Q$91),IF(C20=30,LOOKUP(AT20,Lookups!U$5:U$154,Lookups!V$5:V$154),IF(C20=36,LOOKUP(AT20,Lookups!Z$5:Z$196,Lookups!AA$5:AA$196),IF(C20=42,LOOKUP(AT20,Lookups!AE$5:AE$234,Lookups!AF$5:AF$234),IF(C20=48,LOOKUP(AT20,Lookups!AJ$5:AJ$260,Lookups!AK$5:AK$260),LOOKUP(AT20,Lookups!AO$5:AO$265,Lookups!AP$5:AP$265)))))))</f>
        <v>N/A</v>
      </c>
      <c r="AW20" s="497" t="str">
        <f>VLOOKUP(AV20,Lookups!$A$5:$J$265,7,FALSE)</f>
        <v>-</v>
      </c>
      <c r="AX20" s="527">
        <f t="shared" ref="AX20" si="16">AN20/(Shear_Factor*0.58*Fy*1000)</f>
        <v>18.484379310344831</v>
      </c>
      <c r="AY20" s="414">
        <f t="shared" ref="AY20" si="17">IFERROR(AX20/AK20,"N/A")</f>
        <v>2.7774758170943836</v>
      </c>
      <c r="AZ20" s="413" t="str">
        <f>IF(C20=18,LOOKUP(AX20,Lookups!K$271:K$300,Lookups!L$271:L$300),IF(C20=24,LOOKUP(AX20,Lookups!P$271:P$357,Lookups!Q$271:Q$357),IF(C20=30,LOOKUP(AX20,Lookups!U$271:U$420,Lookups!V$271:V$420),IF(C20=36,LOOKUP(AX20,Lookups!Z$271:Z$462,Lookups!AA$271:AA$462),IF(C20=42,LOOKUP(AX20,Lookups!AE$271:AE$500,Lookups!AF$271:AF$500),IF(C20=48,LOOKUP(AX20,Lookups!AJ$271:AJ$526,Lookups!AK$271:AK$526),LOOKUP(AX20,Lookups!AO$271:AO$531,Lookups!AP$271:AP$531)))))))</f>
        <v>N/A</v>
      </c>
      <c r="BA20" s="497" t="str">
        <f>VLOOKUP(AZ20,Lookups!$A$5:$J$265,7,FALSE)</f>
        <v>-</v>
      </c>
      <c r="BB20" s="399"/>
      <c r="BC20" s="520" t="str">
        <f>B20</f>
        <v>HP12x 53</v>
      </c>
      <c r="BD20" s="532">
        <f>VLOOKUP(BC20,Lookups!$A$5:$J$265,2,FALSE)</f>
        <v>66.8</v>
      </c>
      <c r="BE20" s="414">
        <f t="shared" ref="BE20" si="18">IFERROR(BD20/AT20,"N/A")</f>
        <v>0.34063742236602873</v>
      </c>
      <c r="BF20" s="537" t="str">
        <f t="shared" ref="BF20" si="19">IF(BE20&gt;=1,"YES","NO")</f>
        <v>NO</v>
      </c>
      <c r="BG20" s="527">
        <f>LOOKUP(BC20,Lookups!$A$5:$A$265,Lookups!$I$5:$I$265)</f>
        <v>4.7458499999999999</v>
      </c>
      <c r="BH20" s="414">
        <f t="shared" ref="BH20" si="20">IFERROR(BG20/AX20,"N/A")</f>
        <v>0.25674922161676117</v>
      </c>
      <c r="BI20" s="537" t="str">
        <f t="shared" ref="BI20" si="21">IF(BH20&gt;=1,"YES","NO")</f>
        <v>NO</v>
      </c>
      <c r="BK20" s="705" t="str">
        <f t="shared" ref="BK20" si="22">IF(BQ20&gt;0,"NO","YES")</f>
        <v>NO</v>
      </c>
      <c r="BM20" s="706">
        <f t="shared" ref="BM20:BN23" si="23">IF(AQ20="NO", 1, 0)</f>
        <v>0</v>
      </c>
      <c r="BN20" s="706">
        <f t="shared" si="23"/>
        <v>0</v>
      </c>
      <c r="BO20" s="706">
        <f t="shared" ref="BO20:BO24" si="24">IF(BF20="NO", 1, 0)</f>
        <v>1</v>
      </c>
      <c r="BP20" s="706">
        <f t="shared" ref="BP20:BP24" si="25">IF(BI20="NO", 1, 0)</f>
        <v>1</v>
      </c>
      <c r="BQ20" s="706">
        <f>BM20+BN20+BO20+BP20</f>
        <v>2</v>
      </c>
    </row>
    <row r="21" spans="1:69" s="400" customFormat="1" ht="12.75" x14ac:dyDescent="0.2">
      <c r="A21" s="613" t="s">
        <v>519</v>
      </c>
      <c r="B21" s="614" t="s">
        <v>90</v>
      </c>
      <c r="C21" s="615">
        <v>24</v>
      </c>
      <c r="D21" s="615">
        <v>4</v>
      </c>
      <c r="E21" s="695">
        <f t="shared" ref="E21:E22" si="26">D21/(C21/12)</f>
        <v>2</v>
      </c>
      <c r="F21" s="616" t="s">
        <v>451</v>
      </c>
      <c r="G21" s="617">
        <v>0</v>
      </c>
      <c r="H21" s="793">
        <v>40932</v>
      </c>
      <c r="I21" s="683">
        <f t="shared" ref="I21:I22" si="27">H21/1000</f>
        <v>40.932000000000002</v>
      </c>
      <c r="J21" s="619">
        <v>250</v>
      </c>
      <c r="K21" s="620">
        <v>22.4</v>
      </c>
      <c r="L21" s="615">
        <v>18.100000000000001</v>
      </c>
      <c r="M21" s="615">
        <v>8</v>
      </c>
      <c r="N21" s="622">
        <v>8</v>
      </c>
      <c r="O21" s="790">
        <f>(K21+N21)*12</f>
        <v>364.79999999999995</v>
      </c>
      <c r="P21" s="623">
        <f t="shared" si="2"/>
        <v>96</v>
      </c>
      <c r="Q21" s="624">
        <f t="shared" ref="Q21:Q22" si="28">C21</f>
        <v>24</v>
      </c>
      <c r="R21" s="621">
        <f>LOOKUP(B21,Lookups!A$5:A$265,Lookups!C$5:C$265)</f>
        <v>393</v>
      </c>
      <c r="S21" s="621">
        <f>LOOKUP(B21,Lookups!A$5:A$265,Lookups!D$5:D$265)</f>
        <v>15.5</v>
      </c>
      <c r="T21" s="625">
        <v>29000000</v>
      </c>
      <c r="U21" s="660">
        <f>LOOKUP(B21,Lookups!A$5:A$265,Lookups!G$5:G$265)</f>
        <v>14.623781769136514</v>
      </c>
      <c r="V21" s="631">
        <f>LOOKUP(B21,Lookups!A$5:A$265,Lookups!E$5:E$265)</f>
        <v>0.435</v>
      </c>
      <c r="W21" s="668">
        <f t="shared" ref="W21:W22" si="29">IF(E21&gt;=3.75,1,IF(E21&lt;1,0.64*1^0.34,0.64*E21^0.34))</f>
        <v>0.81008422014097914</v>
      </c>
      <c r="X21" s="669">
        <f t="shared" ref="X21:X22" si="30">IF(Method="Load Transfer Reduction",W21-W21/FoS,W21)</f>
        <v>0.81008422014097914</v>
      </c>
      <c r="Y21" s="626">
        <f t="shared" ref="Y21:Y22" si="31">(Ka*J21*D21/12)*LS_Factor*(1-eta)</f>
        <v>50.029766777552659</v>
      </c>
      <c r="Z21" s="627">
        <f>L21</f>
        <v>18.100000000000001</v>
      </c>
      <c r="AA21" s="628">
        <f t="shared" ref="AA21:AA22" si="32">((I21*1000)*(2/L21)*(1/12))*EH_Factor+Y21</f>
        <v>615.38888279965215</v>
      </c>
      <c r="AB21" s="629">
        <f t="shared" ref="AB21:AB22" si="33">Ka*J21*D21/12*(1-eta)</f>
        <v>28.588438158601519</v>
      </c>
      <c r="AC21" s="630">
        <f>L21</f>
        <v>18.100000000000001</v>
      </c>
      <c r="AD21" s="748">
        <f t="shared" ref="AD21:AD22" si="34">(I21*1000)*(2/L21)*(1/12)+AB21</f>
        <v>405.49451550666777</v>
      </c>
      <c r="AF21" s="399"/>
      <c r="AG21" s="637">
        <f>(LS_Factor*Ka*J21*(D21)*L21^2/2)+((EH_Factor*I21*1000)*(L21/3))</f>
        <v>468776.11136396421</v>
      </c>
      <c r="AH21" s="638">
        <f t="shared" ref="AH21:AH22" si="35">AG21/1000*12</f>
        <v>5625.3133363675706</v>
      </c>
      <c r="AI21" s="639">
        <f t="shared" ref="AI21:AI22" si="36">AH21/(Flexure_Factor*Fy)</f>
        <v>112.50626672735142</v>
      </c>
      <c r="AJ21" s="413" t="str">
        <f>IF(C21=18,LOOKUP(AI21,Lookups!K$5:K$34,Lookups!L$5:L$34),IF(C21=24,LOOKUP(AI21,Lookups!P$5:P$91,Lookups!Q$5:Q$91),IF(C21=30,LOOKUP(AI21,Lookups!U$5:U$154,Lookups!V$5:V$154),IF(C21=36,LOOKUP(AI21,Lookups!Z$5:Z$196,Lookups!AA$5:AA$196),IF(C21=42,LOOKUP(AI21,Lookups!AE$5:AE$234,Lookups!AF$5:AF$234),IF(C21=48,LOOKUP(AI21,Lookups!AJ$5:AJ$260,Lookups!AK$5:AK$260),LOOKUP(AI21,Lookups!AO$5:AO$265,Lookups!AP$5:AP$265)))))))</f>
        <v>W12x 87</v>
      </c>
      <c r="AK21" s="640">
        <f>LOOKUP(AJ21,Lookups!$A$5:$A$265,Lookups!$I$5:$I$265)</f>
        <v>5.6186500000000006</v>
      </c>
      <c r="AL21" s="399"/>
      <c r="AM21" s="570">
        <v>7086559</v>
      </c>
      <c r="AN21" s="571">
        <v>398328</v>
      </c>
      <c r="AO21" s="515"/>
      <c r="AP21" s="516">
        <f>IF(O21&lt;(K21*12),O21,K21*12)</f>
        <v>268.79999999999995</v>
      </c>
      <c r="AQ21" s="700" t="str">
        <f t="shared" ref="AQ21:AQ22" si="37">IF(AO21&lt;=(AP21*0.01),"YES","NO")</f>
        <v>YES</v>
      </c>
      <c r="AR21" s="700" t="str">
        <f t="shared" ref="AR21:AR22" si="38">IF($X$6&gt;10, "N/A", IF(AO21&lt;=2,"YES","NO"))</f>
        <v>YES</v>
      </c>
      <c r="AS21" s="399"/>
      <c r="AT21" s="477">
        <f t="shared" ref="AT21:AT22" si="39">AM21/1000/(Flexure_Factor*Fy)</f>
        <v>141.73117999999999</v>
      </c>
      <c r="AU21" s="414">
        <f t="shared" ref="AU21:AU22" si="40">AT21/AI21</f>
        <v>1.2597625369924723</v>
      </c>
      <c r="AV21" s="413" t="str">
        <f>IF(C21=18,LOOKUP(AT21,Lookups!K$5:K$34,Lookups!L$5:L$34),IF(C21=24,LOOKUP(AT21,Lookups!P$5:P$91,Lookups!Q$5:Q$91),IF(C21=30,LOOKUP(AT21,Lookups!U$5:U$154,Lookups!V$5:V$154),IF(C21=36,LOOKUP(AT21,Lookups!Z$5:Z$196,Lookups!AA$5:AA$196),IF(C21=42,LOOKUP(AT21,Lookups!AE$5:AE$234,Lookups!AF$5:AF$234),IF(C21=48,LOOKUP(AT21,Lookups!AJ$5:AJ$260,Lookups!AK$5:AK$260),LOOKUP(AT21,Lookups!AO$5:AO$265,Lookups!AP$5:AP$265)))))))</f>
        <v>W12x106</v>
      </c>
      <c r="AW21" s="497">
        <f>VLOOKUP(AV21,Lookups!$A$5:$J$265,7,FALSE)</f>
        <v>15.082702707273612</v>
      </c>
      <c r="AX21" s="527">
        <f t="shared" ref="AX21:AX22" si="41">AN21/(Shear_Factor*0.58*Fy*1000)</f>
        <v>13.735448275862071</v>
      </c>
      <c r="AY21" s="414">
        <f t="shared" ref="AY21:AY22" si="42">IFERROR(AX21/AK21,"N/A")</f>
        <v>2.4446171724279089</v>
      </c>
      <c r="AZ21" s="413" t="str">
        <f>IF(C21=18,LOOKUP(AX21,Lookups!K$271:K$300,Lookups!L$271:L$300),IF(C21=24,LOOKUP(AX21,Lookups!P$271:P$357,Lookups!Q$271:Q$357),IF(C21=30,LOOKUP(AX21,Lookups!U$271:U$420,Lookups!V$271:V$420),IF(C21=36,LOOKUP(AX21,Lookups!Z$271:Z$462,Lookups!AA$271:AA$462),IF(C21=42,LOOKUP(AX21,Lookups!AE$271:AE$500,Lookups!AF$271:AF$500),IF(C21=48,LOOKUP(AX21,Lookups!AJ$271:AJ$526,Lookups!AK$271:AK$526),LOOKUP(AX21,Lookups!AO$271:AO$531,Lookups!AP$271:AP$531)))))))</f>
        <v>N/A</v>
      </c>
      <c r="BA21" s="497" t="str">
        <f>VLOOKUP(AZ21,Lookups!$A$5:$J$265,7,FALSE)</f>
        <v>-</v>
      </c>
      <c r="BB21" s="399"/>
      <c r="BC21" s="520" t="str">
        <f>B21</f>
        <v>HP12x 53</v>
      </c>
      <c r="BD21" s="532">
        <f>VLOOKUP(BC21,Lookups!$A$5:$J$265,2,FALSE)</f>
        <v>66.8</v>
      </c>
      <c r="BE21" s="414">
        <f t="shared" ref="BE21:BE22" si="43">IFERROR(BD21/AT21,"N/A")</f>
        <v>0.47131478055851928</v>
      </c>
      <c r="BF21" s="537" t="str">
        <f t="shared" ref="BF21:BF22" si="44">IF(BE21&gt;=1,"YES","NO")</f>
        <v>NO</v>
      </c>
      <c r="BG21" s="527">
        <f>LOOKUP(BC21,Lookups!$A$5:$A$265,Lookups!$I$5:$I$265)</f>
        <v>4.7458499999999999</v>
      </c>
      <c r="BH21" s="414">
        <f t="shared" ref="BH21:BH22" si="45">IFERROR(BG21/AX21,"N/A")</f>
        <v>0.34551839187805017</v>
      </c>
      <c r="BI21" s="537" t="str">
        <f t="shared" ref="BI21:BI22" si="46">IF(BH21&gt;=1,"YES","NO")</f>
        <v>NO</v>
      </c>
      <c r="BK21" s="705" t="str">
        <f t="shared" ref="BK21:BK22" si="47">IF(BQ21&gt;0,"NO","YES")</f>
        <v>NO</v>
      </c>
      <c r="BM21" s="706">
        <f t="shared" si="23"/>
        <v>0</v>
      </c>
      <c r="BN21" s="706">
        <f t="shared" si="23"/>
        <v>0</v>
      </c>
      <c r="BO21" s="706">
        <f t="shared" si="24"/>
        <v>1</v>
      </c>
      <c r="BP21" s="706">
        <f t="shared" si="25"/>
        <v>1</v>
      </c>
      <c r="BQ21" s="706">
        <f t="shared" ref="BQ21:BQ23" si="48">BM21+BN21+BO21+BP21</f>
        <v>2</v>
      </c>
    </row>
    <row r="22" spans="1:69" s="400" customFormat="1" ht="12.75" x14ac:dyDescent="0.2">
      <c r="A22" s="613" t="s">
        <v>519</v>
      </c>
      <c r="B22" s="614" t="s">
        <v>226</v>
      </c>
      <c r="C22" s="615">
        <v>24</v>
      </c>
      <c r="D22" s="615">
        <v>5</v>
      </c>
      <c r="E22" s="695">
        <f t="shared" si="26"/>
        <v>2.5</v>
      </c>
      <c r="F22" s="616" t="s">
        <v>451</v>
      </c>
      <c r="G22" s="617">
        <v>0</v>
      </c>
      <c r="H22" s="754">
        <f>Shaft_Load</f>
        <v>51165</v>
      </c>
      <c r="I22" s="683">
        <f t="shared" si="27"/>
        <v>51.164999999999999</v>
      </c>
      <c r="J22" s="619">
        <v>250</v>
      </c>
      <c r="K22" s="620">
        <v>22.4</v>
      </c>
      <c r="L22" s="615">
        <v>18.100000000000001</v>
      </c>
      <c r="M22" s="615">
        <v>8</v>
      </c>
      <c r="N22" s="622">
        <v>8</v>
      </c>
      <c r="O22" s="790">
        <f>(K22+N22)*12</f>
        <v>364.79999999999995</v>
      </c>
      <c r="P22" s="623">
        <f t="shared" si="2"/>
        <v>96</v>
      </c>
      <c r="Q22" s="624">
        <f t="shared" si="28"/>
        <v>24</v>
      </c>
      <c r="R22" s="621">
        <f>LOOKUP(B22,Lookups!A$5:A$265,Lookups!C$5:C$265)</f>
        <v>1330</v>
      </c>
      <c r="S22" s="621">
        <f>LOOKUP(B22,Lookups!A$5:A$265,Lookups!D$5:D$265)</f>
        <v>22.3</v>
      </c>
      <c r="T22" s="625">
        <v>29000000</v>
      </c>
      <c r="U22" s="660">
        <f>LOOKUP(B22,Lookups!A$5:A$265,Lookups!G$5:G$265)</f>
        <v>17.530546934775881</v>
      </c>
      <c r="V22" s="631">
        <f>LOOKUP(B22,Lookups!A$5:A$265,Lookups!E$5:E$265)</f>
        <v>0.68</v>
      </c>
      <c r="W22" s="668">
        <f t="shared" si="29"/>
        <v>0.87393589404506455</v>
      </c>
      <c r="X22" s="669">
        <f t="shared" si="30"/>
        <v>0.87393589404506455</v>
      </c>
      <c r="Y22" s="626">
        <f t="shared" si="31"/>
        <v>62.537208471940822</v>
      </c>
      <c r="Z22" s="627">
        <f>L22</f>
        <v>18.100000000000001</v>
      </c>
      <c r="AA22" s="628">
        <f t="shared" si="32"/>
        <v>769.23610349956516</v>
      </c>
      <c r="AB22" s="629">
        <f t="shared" si="33"/>
        <v>35.735547698251899</v>
      </c>
      <c r="AC22" s="630">
        <f>L22</f>
        <v>18.100000000000001</v>
      </c>
      <c r="AD22" s="748">
        <f t="shared" si="34"/>
        <v>506.86814438333471</v>
      </c>
      <c r="AF22" s="399"/>
      <c r="AG22" s="637">
        <f>(LS_Factor*Ka*J22*(D22)*L22^2/2)+((EH_Factor*I22*1000)*(L22/3))</f>
        <v>585970.13920495531</v>
      </c>
      <c r="AH22" s="638">
        <f t="shared" si="35"/>
        <v>7031.641670459464</v>
      </c>
      <c r="AI22" s="639">
        <f t="shared" si="36"/>
        <v>140.63283340918929</v>
      </c>
      <c r="AJ22" s="413" t="str">
        <f>IF(C22=18,LOOKUP(AI22,Lookups!K$5:K$34,Lookups!L$5:L$34),IF(C22=24,LOOKUP(AI22,Lookups!P$5:P$91,Lookups!Q$5:Q$91),IF(C22=30,LOOKUP(AI22,Lookups!U$5:U$154,Lookups!V$5:V$154),IF(C22=36,LOOKUP(AI22,Lookups!Z$5:Z$196,Lookups!AA$5:AA$196),IF(C22=42,LOOKUP(AI22,Lookups!AE$5:AE$234,Lookups!AF$5:AF$234),IF(C22=48,LOOKUP(AI22,Lookups!AJ$5:AJ$260,Lookups!AK$5:AK$260),LOOKUP(AI22,Lookups!AO$5:AO$265,Lookups!AP$5:AP$265)))))))</f>
        <v>W12x106</v>
      </c>
      <c r="AK22" s="640">
        <f>LOOKUP(AJ22,Lookups!$A$5:$A$265,Lookups!$I$5:$I$265)</f>
        <v>6.6551</v>
      </c>
      <c r="AL22" s="399"/>
      <c r="AM22" s="570">
        <v>5343504</v>
      </c>
      <c r="AN22" s="571">
        <v>219911</v>
      </c>
      <c r="AO22" s="515">
        <v>3.5</v>
      </c>
      <c r="AP22" s="516">
        <f>IF(O22&lt;(K22*12),O22,K22*12)</f>
        <v>268.79999999999995</v>
      </c>
      <c r="AQ22" s="700" t="str">
        <f t="shared" si="37"/>
        <v>NO</v>
      </c>
      <c r="AR22" s="700" t="str">
        <f t="shared" si="38"/>
        <v>NO</v>
      </c>
      <c r="AS22" s="399"/>
      <c r="AT22" s="477">
        <f t="shared" si="39"/>
        <v>106.87008</v>
      </c>
      <c r="AU22" s="414">
        <f t="shared" si="40"/>
        <v>0.75992268241547678</v>
      </c>
      <c r="AV22" s="413" t="str">
        <f>IF(C22=18,LOOKUP(AT22,Lookups!K$5:K$34,Lookups!L$5:L$34),IF(C22=24,LOOKUP(AT22,Lookups!P$5:P$91,Lookups!Q$5:Q$91),IF(C22=30,LOOKUP(AT22,Lookups!U$5:U$154,Lookups!V$5:V$154),IF(C22=36,LOOKUP(AT22,Lookups!Z$5:Z$196,Lookups!AA$5:AA$196),IF(C22=42,LOOKUP(AT22,Lookups!AE$5:AE$234,Lookups!AF$5:AF$234),IF(C22=48,LOOKUP(AT22,Lookups!AJ$5:AJ$260,Lookups!AK$5:AK$260),LOOKUP(AT22,Lookups!AO$5:AO$265,Lookups!AP$5:AP$265)))))))</f>
        <v>W12x 79</v>
      </c>
      <c r="AW22" s="497">
        <f>VLOOKUP(AV22,Lookups!$A$5:$J$265,7,FALSE)</f>
        <v>14.684252391148206</v>
      </c>
      <c r="AX22" s="527">
        <f t="shared" si="41"/>
        <v>7.583137931034484</v>
      </c>
      <c r="AY22" s="414">
        <f t="shared" si="42"/>
        <v>1.1394476312954702</v>
      </c>
      <c r="AZ22" s="413" t="str">
        <f>IF(C22=18,LOOKUP(AX22,Lookups!K$271:K$300,Lookups!L$271:L$300),IF(C22=24,LOOKUP(AX22,Lookups!P$271:P$357,Lookups!Q$271:Q$357),IF(C22=30,LOOKUP(AX22,Lookups!U$271:U$420,Lookups!V$271:V$420),IF(C22=36,LOOKUP(AX22,Lookups!Z$271:Z$462,Lookups!AA$271:AA$462),IF(C22=42,LOOKUP(AX22,Lookups!AE$271:AE$500,Lookups!AF$271:AF$500),IF(C22=48,LOOKUP(AX22,Lookups!AJ$271:AJ$526,Lookups!AK$271:AK$526),LOOKUP(AX22,Lookups!AO$271:AO$531,Lookups!AP$271:AP$531)))))))</f>
        <v>W12x120</v>
      </c>
      <c r="BA22" s="497">
        <f>VLOOKUP(AZ22,Lookups!$A$5:$J$265,7,FALSE)</f>
        <v>15.290415948833397</v>
      </c>
      <c r="BB22" s="399"/>
      <c r="BC22" s="520" t="str">
        <f>B22</f>
        <v>W18x 76</v>
      </c>
      <c r="BD22" s="532">
        <f>VLOOKUP(BC22,Lookups!$A$5:$J$265,2,FALSE)</f>
        <v>146</v>
      </c>
      <c r="BE22" s="414">
        <f t="shared" si="43"/>
        <v>1.3661447619389824</v>
      </c>
      <c r="BF22" s="537" t="str">
        <f t="shared" si="44"/>
        <v>YES</v>
      </c>
      <c r="BG22" s="527">
        <f>LOOKUP(BC22,Lookups!$A$5:$A$265,Lookups!$I$5:$I$265)</f>
        <v>7.1612500000000008</v>
      </c>
      <c r="BH22" s="414">
        <f t="shared" si="45"/>
        <v>0.94436499311084932</v>
      </c>
      <c r="BI22" s="537" t="str">
        <f t="shared" si="46"/>
        <v>NO</v>
      </c>
      <c r="BK22" s="705" t="str">
        <f t="shared" si="47"/>
        <v>NO</v>
      </c>
      <c r="BM22" s="706">
        <f t="shared" si="23"/>
        <v>1</v>
      </c>
      <c r="BN22" s="706">
        <f t="shared" si="23"/>
        <v>1</v>
      </c>
      <c r="BO22" s="706">
        <f t="shared" si="24"/>
        <v>0</v>
      </c>
      <c r="BP22" s="706">
        <f t="shared" si="25"/>
        <v>1</v>
      </c>
      <c r="BQ22" s="706">
        <f t="shared" si="48"/>
        <v>3</v>
      </c>
    </row>
    <row r="23" spans="1:69" s="400" customFormat="1" ht="12.75" x14ac:dyDescent="0.2">
      <c r="A23" s="613"/>
      <c r="B23" s="614"/>
      <c r="C23" s="615"/>
      <c r="D23" s="615"/>
      <c r="E23" s="695"/>
      <c r="F23" s="616"/>
      <c r="G23" s="617"/>
      <c r="H23" s="618"/>
      <c r="I23" s="683"/>
      <c r="J23" s="619"/>
      <c r="K23" s="620"/>
      <c r="L23" s="615"/>
      <c r="M23" s="615"/>
      <c r="N23" s="622"/>
      <c r="O23" s="750"/>
      <c r="P23" s="623"/>
      <c r="Q23" s="624"/>
      <c r="R23" s="621"/>
      <c r="S23" s="621"/>
      <c r="T23" s="625"/>
      <c r="U23" s="660"/>
      <c r="V23" s="631"/>
      <c r="W23" s="668"/>
      <c r="X23" s="669"/>
      <c r="Y23" s="626"/>
      <c r="Z23" s="627"/>
      <c r="AA23" s="628"/>
      <c r="AB23" s="629"/>
      <c r="AC23" s="630"/>
      <c r="AD23" s="748"/>
      <c r="AF23" s="399"/>
      <c r="AG23" s="637"/>
      <c r="AH23" s="638"/>
      <c r="AI23" s="639"/>
      <c r="AJ23" s="413"/>
      <c r="AK23" s="640"/>
      <c r="AL23" s="399"/>
      <c r="AM23" s="570"/>
      <c r="AN23" s="571"/>
      <c r="AO23" s="515"/>
      <c r="AP23" s="516"/>
      <c r="AQ23" s="700"/>
      <c r="AR23" s="700"/>
      <c r="AS23" s="399"/>
      <c r="AT23" s="477"/>
      <c r="AU23" s="414"/>
      <c r="AV23" s="413"/>
      <c r="AW23" s="497"/>
      <c r="AX23" s="527"/>
      <c r="AY23" s="414"/>
      <c r="AZ23" s="413"/>
      <c r="BA23" s="497"/>
      <c r="BB23" s="399"/>
      <c r="BC23" s="520"/>
      <c r="BD23" s="532"/>
      <c r="BE23" s="414"/>
      <c r="BF23" s="537"/>
      <c r="BG23" s="527"/>
      <c r="BH23" s="414"/>
      <c r="BI23" s="537"/>
      <c r="BK23" s="705"/>
      <c r="BM23" s="706">
        <f t="shared" si="23"/>
        <v>0</v>
      </c>
      <c r="BN23" s="706">
        <f t="shared" si="23"/>
        <v>0</v>
      </c>
      <c r="BO23" s="706">
        <f t="shared" si="24"/>
        <v>0</v>
      </c>
      <c r="BP23" s="706">
        <f t="shared" si="25"/>
        <v>0</v>
      </c>
      <c r="BQ23" s="706">
        <f t="shared" si="48"/>
        <v>0</v>
      </c>
    </row>
    <row r="24" spans="1:69" s="400" customFormat="1" ht="12.75" x14ac:dyDescent="0.2">
      <c r="A24" s="613"/>
      <c r="B24" s="614"/>
      <c r="C24" s="615"/>
      <c r="D24" s="615"/>
      <c r="E24" s="695"/>
      <c r="F24" s="616"/>
      <c r="G24" s="617"/>
      <c r="H24" s="618"/>
      <c r="I24" s="683"/>
      <c r="J24" s="619"/>
      <c r="K24" s="620"/>
      <c r="L24" s="615"/>
      <c r="M24" s="615"/>
      <c r="N24" s="622"/>
      <c r="O24" s="750"/>
      <c r="P24" s="623"/>
      <c r="Q24" s="624"/>
      <c r="R24" s="621"/>
      <c r="S24" s="621"/>
      <c r="T24" s="625"/>
      <c r="U24" s="660"/>
      <c r="V24" s="631"/>
      <c r="W24" s="668"/>
      <c r="X24" s="669"/>
      <c r="Y24" s="626"/>
      <c r="Z24" s="627"/>
      <c r="AA24" s="628"/>
      <c r="AB24" s="629"/>
      <c r="AC24" s="630"/>
      <c r="AD24" s="748"/>
      <c r="AF24" s="399"/>
      <c r="AG24" s="637"/>
      <c r="AH24" s="638"/>
      <c r="AI24" s="639"/>
      <c r="AJ24" s="413"/>
      <c r="AK24" s="640"/>
      <c r="AL24" s="399"/>
      <c r="AM24" s="570"/>
      <c r="AN24" s="571"/>
      <c r="AO24" s="515"/>
      <c r="AP24" s="516"/>
      <c r="AQ24" s="700"/>
      <c r="AR24" s="700"/>
      <c r="AS24" s="399"/>
      <c r="AT24" s="477"/>
      <c r="AU24" s="414"/>
      <c r="AV24" s="413"/>
      <c r="AW24" s="497"/>
      <c r="AX24" s="527"/>
      <c r="AY24" s="414"/>
      <c r="AZ24" s="413"/>
      <c r="BA24" s="497"/>
      <c r="BB24" s="399"/>
      <c r="BC24" s="520"/>
      <c r="BD24" s="532"/>
      <c r="BE24" s="414"/>
      <c r="BF24" s="537"/>
      <c r="BG24" s="527"/>
      <c r="BH24" s="414"/>
      <c r="BI24" s="537"/>
      <c r="BK24" s="705"/>
      <c r="BM24" s="706">
        <f t="shared" ref="BM24" si="49">IF(AQ24="NO", 1, 0)</f>
        <v>0</v>
      </c>
      <c r="BN24" s="706">
        <f t="shared" ref="BN24" si="50">IF(AR24="NO", 1, 0)</f>
        <v>0</v>
      </c>
      <c r="BO24" s="706">
        <f t="shared" si="24"/>
        <v>0</v>
      </c>
      <c r="BP24" s="706">
        <f t="shared" si="25"/>
        <v>0</v>
      </c>
      <c r="BQ24" s="706">
        <f>BM24+BN24+BO24+BP24</f>
        <v>0</v>
      </c>
    </row>
    <row r="25" spans="1:69" s="399" customFormat="1" ht="13.5" thickBot="1" x14ac:dyDescent="0.25">
      <c r="A25" s="423"/>
      <c r="B25" s="423"/>
      <c r="C25" s="424"/>
      <c r="D25" s="424"/>
      <c r="E25" s="424"/>
      <c r="F25" s="426"/>
      <c r="G25" s="565"/>
      <c r="H25" s="402"/>
      <c r="I25" s="404"/>
      <c r="J25" s="425"/>
      <c r="K25" s="424"/>
      <c r="L25" s="424"/>
      <c r="M25" s="424"/>
      <c r="N25" s="424"/>
      <c r="O25" s="401"/>
      <c r="P25" s="427"/>
      <c r="Q25" s="402"/>
      <c r="R25" s="401"/>
      <c r="S25" s="401"/>
      <c r="T25" s="403"/>
      <c r="U25" s="404"/>
      <c r="V25" s="401"/>
      <c r="W25" s="404"/>
      <c r="X25" s="404"/>
      <c r="Y25" s="401"/>
      <c r="Z25" s="404"/>
      <c r="AA25" s="404"/>
      <c r="AB25" s="405"/>
      <c r="AC25" s="405"/>
      <c r="AD25" s="405"/>
      <c r="AE25" s="407"/>
      <c r="AF25" s="407"/>
      <c r="AG25" s="595"/>
      <c r="AH25" s="566"/>
      <c r="AI25" s="567"/>
      <c r="AJ25" s="404"/>
      <c r="AL25" s="407"/>
      <c r="AM25" s="338"/>
      <c r="AN25" s="408"/>
      <c r="AO25" s="406"/>
      <c r="AP25" s="568"/>
      <c r="AQ25" s="338"/>
      <c r="AR25" s="338"/>
      <c r="AS25" s="407"/>
      <c r="AT25" s="406"/>
      <c r="AV25" s="407"/>
      <c r="AW25" s="505"/>
      <c r="AX25" s="338"/>
      <c r="AY25" s="569"/>
      <c r="AZ25" s="568"/>
      <c r="BA25" s="338"/>
      <c r="BB25" s="407"/>
    </row>
    <row r="26" spans="1:69" s="399" customFormat="1" ht="13.5" thickBot="1" x14ac:dyDescent="0.25">
      <c r="A26" s="423"/>
      <c r="B26" s="423"/>
      <c r="C26" s="424"/>
      <c r="D26" s="424"/>
      <c r="E26" s="424"/>
      <c r="F26" s="761" t="s">
        <v>452</v>
      </c>
      <c r="G26" s="762"/>
      <c r="H26" s="758" t="s">
        <v>453</v>
      </c>
      <c r="I26" s="759"/>
      <c r="J26" s="759"/>
      <c r="K26" s="760"/>
      <c r="L26" s="775"/>
      <c r="M26" s="775"/>
      <c r="N26" s="775"/>
      <c r="O26" s="401"/>
      <c r="P26" s="427"/>
      <c r="Q26" s="402"/>
      <c r="R26" s="401"/>
      <c r="S26" s="401"/>
      <c r="T26" s="403"/>
      <c r="U26" s="404"/>
      <c r="V26" s="401"/>
      <c r="W26" s="404"/>
      <c r="X26" s="404"/>
      <c r="Y26" s="401"/>
      <c r="Z26" s="404"/>
      <c r="AA26" s="404"/>
      <c r="AB26" s="405"/>
      <c r="AC26" s="405"/>
      <c r="AD26" s="405"/>
      <c r="AE26" s="407"/>
      <c r="AF26" s="407"/>
      <c r="AG26" s="595"/>
      <c r="AH26" s="566"/>
      <c r="AI26" s="567"/>
      <c r="AJ26" s="404"/>
      <c r="AL26" s="407"/>
      <c r="AM26" s="338"/>
      <c r="AN26" s="408"/>
      <c r="AO26" s="406"/>
      <c r="AP26" s="568"/>
      <c r="AQ26" s="338"/>
      <c r="AR26" s="338"/>
      <c r="AS26" s="407"/>
      <c r="AT26" s="406"/>
      <c r="AV26" s="407"/>
      <c r="AW26" s="505"/>
      <c r="AX26" s="338"/>
      <c r="AY26" s="569"/>
      <c r="AZ26" s="568"/>
      <c r="BA26" s="338"/>
      <c r="BB26" s="407"/>
    </row>
    <row r="27" spans="1:69" s="399" customFormat="1" ht="15.75" thickBot="1" x14ac:dyDescent="0.3">
      <c r="A27" s="423"/>
      <c r="B27" s="423"/>
      <c r="C27" s="424"/>
      <c r="D27" s="424"/>
      <c r="E27" s="424"/>
      <c r="F27" s="361" t="s">
        <v>459</v>
      </c>
      <c r="G27" s="332"/>
      <c r="H27" s="498"/>
      <c r="I27" s="502"/>
      <c r="J27" s="498"/>
      <c r="K27" s="498"/>
      <c r="L27" s="236"/>
      <c r="M27" s="690"/>
      <c r="N27" s="236"/>
      <c r="O27" s="401"/>
      <c r="P27" s="391" t="s">
        <v>434</v>
      </c>
      <c r="Q27" s="504"/>
      <c r="R27" s="396"/>
      <c r="S27" s="396"/>
      <c r="T27" s="522"/>
      <c r="U27" s="394"/>
      <c r="V27" s="397"/>
      <c r="W27" s="404"/>
      <c r="X27" s="404"/>
      <c r="Y27" s="685"/>
      <c r="Z27" s="686"/>
      <c r="AA27" s="687"/>
      <c r="AB27" s="687"/>
      <c r="AC27" s="687"/>
      <c r="AD27" s="687"/>
      <c r="AE27" s="407"/>
      <c r="AF27" s="407"/>
      <c r="AG27" s="595"/>
      <c r="AH27" s="566"/>
      <c r="AI27" s="567"/>
      <c r="AJ27" s="404"/>
      <c r="AL27" s="407"/>
      <c r="AM27" s="338"/>
      <c r="AN27" s="408"/>
      <c r="AO27" s="406"/>
      <c r="AP27" s="568"/>
      <c r="AQ27" s="338"/>
      <c r="AR27" s="338"/>
      <c r="AS27" s="407"/>
      <c r="AT27" s="406"/>
      <c r="AV27" s="407"/>
      <c r="AW27" s="505"/>
      <c r="AX27" s="338"/>
      <c r="AY27" s="569"/>
      <c r="AZ27" s="568"/>
      <c r="BA27" s="338"/>
      <c r="BB27" s="407"/>
    </row>
    <row r="28" spans="1:69" s="399" customFormat="1" x14ac:dyDescent="0.25">
      <c r="A28" s="423"/>
      <c r="B28" s="423"/>
      <c r="C28" s="424"/>
      <c r="D28" s="424"/>
      <c r="E28" s="424"/>
      <c r="F28" s="471" t="s">
        <v>437</v>
      </c>
      <c r="G28" s="472" t="s">
        <v>460</v>
      </c>
      <c r="H28" s="509" t="s">
        <v>464</v>
      </c>
      <c r="I28" s="510" t="s">
        <v>24</v>
      </c>
      <c r="J28" s="696" t="s">
        <v>470</v>
      </c>
      <c r="K28" s="696" t="s">
        <v>510</v>
      </c>
      <c r="L28" s="692"/>
      <c r="M28" s="691"/>
      <c r="N28" s="692"/>
      <c r="O28" s="401"/>
      <c r="P28" s="517" t="s">
        <v>433</v>
      </c>
      <c r="Q28" s="529" t="s">
        <v>83</v>
      </c>
      <c r="R28" s="506" t="s">
        <v>83</v>
      </c>
      <c r="S28" s="535" t="s">
        <v>83</v>
      </c>
      <c r="T28" s="533" t="s">
        <v>432</v>
      </c>
      <c r="U28" s="205" t="s">
        <v>432</v>
      </c>
      <c r="V28" s="538" t="s">
        <v>432</v>
      </c>
      <c r="W28" s="404"/>
      <c r="X28" s="702" t="s">
        <v>8</v>
      </c>
      <c r="Y28" s="688"/>
      <c r="Z28" s="689"/>
      <c r="AA28" s="236"/>
      <c r="AB28" s="690"/>
      <c r="AC28" s="236"/>
      <c r="AD28" s="236"/>
      <c r="AE28" s="407"/>
      <c r="AF28" s="407"/>
      <c r="AG28" s="595"/>
      <c r="AH28" s="566"/>
      <c r="AI28" s="567"/>
      <c r="AJ28" s="404"/>
      <c r="AL28" s="407"/>
      <c r="AM28" s="338"/>
      <c r="AN28" s="408"/>
      <c r="AO28" s="406"/>
      <c r="AP28" s="568"/>
      <c r="AQ28" s="338"/>
      <c r="AR28" s="338"/>
      <c r="AS28" s="407"/>
      <c r="AT28" s="406"/>
      <c r="AV28" s="407"/>
      <c r="AW28" s="505"/>
      <c r="AX28" s="338"/>
      <c r="AY28" s="569"/>
      <c r="AZ28" s="568"/>
      <c r="BA28" s="338"/>
      <c r="BB28" s="407"/>
    </row>
    <row r="29" spans="1:69" s="399" customFormat="1" ht="12.75" x14ac:dyDescent="0.2">
      <c r="A29" s="423"/>
      <c r="B29" s="423"/>
      <c r="C29" s="424"/>
      <c r="D29" s="424"/>
      <c r="E29" s="424"/>
      <c r="F29" s="473" t="s">
        <v>17</v>
      </c>
      <c r="G29" s="474" t="s">
        <v>17</v>
      </c>
      <c r="H29" s="511" t="s">
        <v>17</v>
      </c>
      <c r="I29" s="512" t="s">
        <v>481</v>
      </c>
      <c r="J29" s="697" t="s">
        <v>463</v>
      </c>
      <c r="K29" s="697" t="s">
        <v>463</v>
      </c>
      <c r="L29" s="692"/>
      <c r="M29" s="691"/>
      <c r="N29" s="692"/>
      <c r="O29" s="401"/>
      <c r="P29" s="518" t="s">
        <v>27</v>
      </c>
      <c r="Q29" s="530" t="s">
        <v>27</v>
      </c>
      <c r="R29" s="507" t="s">
        <v>473</v>
      </c>
      <c r="S29" s="536" t="s">
        <v>433</v>
      </c>
      <c r="T29" s="525" t="s">
        <v>27</v>
      </c>
      <c r="U29" s="206" t="s">
        <v>473</v>
      </c>
      <c r="V29" s="536" t="s">
        <v>433</v>
      </c>
      <c r="W29" s="404"/>
      <c r="X29" s="703" t="s">
        <v>433</v>
      </c>
      <c r="Y29" s="691"/>
      <c r="Z29" s="691"/>
      <c r="AA29" s="692"/>
      <c r="AB29" s="691"/>
      <c r="AC29" s="692"/>
      <c r="AD29" s="684"/>
      <c r="AE29" s="407"/>
      <c r="AF29" s="407"/>
      <c r="AG29" s="595"/>
      <c r="AH29" s="566"/>
      <c r="AI29" s="567"/>
      <c r="AJ29" s="404"/>
      <c r="AL29" s="407"/>
      <c r="AM29" s="338"/>
      <c r="AN29" s="408"/>
      <c r="AO29" s="406"/>
      <c r="AP29" s="568"/>
      <c r="AQ29" s="338"/>
      <c r="AR29" s="338"/>
      <c r="AS29" s="407"/>
      <c r="AT29" s="406"/>
      <c r="AV29" s="407"/>
      <c r="AW29" s="505"/>
      <c r="AX29" s="338"/>
      <c r="AY29" s="569"/>
      <c r="AZ29" s="568"/>
      <c r="BA29" s="338"/>
      <c r="BB29" s="407"/>
    </row>
    <row r="30" spans="1:69" s="399" customFormat="1" ht="12.75" x14ac:dyDescent="0.2">
      <c r="A30" s="423"/>
      <c r="B30" s="423"/>
      <c r="C30" s="424"/>
      <c r="D30" s="424"/>
      <c r="E30" s="424"/>
      <c r="F30" s="473" t="s">
        <v>461</v>
      </c>
      <c r="G30" s="474" t="s">
        <v>462</v>
      </c>
      <c r="H30" s="511" t="s">
        <v>463</v>
      </c>
      <c r="I30" s="512" t="s">
        <v>2</v>
      </c>
      <c r="J30" s="698" t="s">
        <v>471</v>
      </c>
      <c r="K30" s="698" t="s">
        <v>471</v>
      </c>
      <c r="L30" s="692"/>
      <c r="M30" s="691"/>
      <c r="N30" s="694"/>
      <c r="O30" s="401"/>
      <c r="P30" s="518" t="s">
        <v>8</v>
      </c>
      <c r="Q30" s="530" t="s">
        <v>8</v>
      </c>
      <c r="R30" s="507" t="s">
        <v>438</v>
      </c>
      <c r="S30" s="534" t="s">
        <v>471</v>
      </c>
      <c r="T30" s="525" t="s">
        <v>8</v>
      </c>
      <c r="U30" s="206" t="s">
        <v>438</v>
      </c>
      <c r="V30" s="534" t="s">
        <v>471</v>
      </c>
      <c r="W30" s="404"/>
      <c r="X30" s="703" t="s">
        <v>471</v>
      </c>
      <c r="Y30" s="693"/>
      <c r="Z30" s="693"/>
      <c r="AA30" s="692"/>
      <c r="AB30" s="691"/>
      <c r="AC30" s="692"/>
      <c r="AD30" s="692"/>
      <c r="AE30" s="407"/>
      <c r="AF30" s="407"/>
      <c r="AG30" s="595"/>
      <c r="AH30" s="566"/>
      <c r="AI30" s="567"/>
      <c r="AJ30" s="404"/>
      <c r="AL30" s="407"/>
      <c r="AM30" s="338"/>
      <c r="AN30" s="408"/>
      <c r="AO30" s="406"/>
      <c r="AP30" s="568"/>
      <c r="AQ30" s="338"/>
      <c r="AR30" s="338"/>
      <c r="AS30" s="407"/>
      <c r="AT30" s="406"/>
      <c r="AV30" s="407"/>
      <c r="AW30" s="505"/>
      <c r="AX30" s="338"/>
      <c r="AY30" s="569"/>
      <c r="AZ30" s="568"/>
      <c r="BA30" s="338"/>
      <c r="BB30" s="407"/>
    </row>
    <row r="31" spans="1:69" s="399" customFormat="1" x14ac:dyDescent="0.25">
      <c r="A31" s="423"/>
      <c r="B31" s="423"/>
      <c r="C31" s="424"/>
      <c r="D31" s="424"/>
      <c r="E31" s="424"/>
      <c r="F31" s="475" t="s">
        <v>465</v>
      </c>
      <c r="G31" s="476" t="s">
        <v>466</v>
      </c>
      <c r="H31" s="513" t="s">
        <v>3</v>
      </c>
      <c r="I31" s="514" t="s">
        <v>3</v>
      </c>
      <c r="J31" s="699" t="s">
        <v>472</v>
      </c>
      <c r="K31" s="699" t="s">
        <v>472</v>
      </c>
      <c r="L31" s="236"/>
      <c r="M31" s="690"/>
      <c r="N31" s="692"/>
      <c r="O31" s="401"/>
      <c r="P31" s="519" t="s">
        <v>28</v>
      </c>
      <c r="Q31" s="531" t="s">
        <v>84</v>
      </c>
      <c r="R31" s="508" t="s">
        <v>63</v>
      </c>
      <c r="S31" s="572" t="s">
        <v>472</v>
      </c>
      <c r="T31" s="526" t="s">
        <v>12</v>
      </c>
      <c r="U31" s="479" t="s">
        <v>63</v>
      </c>
      <c r="V31" s="572" t="s">
        <v>472</v>
      </c>
      <c r="W31" s="404"/>
      <c r="X31" s="704" t="s">
        <v>472</v>
      </c>
      <c r="Y31" s="693"/>
      <c r="Z31" s="693"/>
      <c r="AA31" s="692"/>
      <c r="AB31" s="691"/>
      <c r="AC31" s="694"/>
      <c r="AD31" s="694"/>
      <c r="AE31" s="407"/>
      <c r="AF31" s="407"/>
      <c r="AG31" s="595"/>
      <c r="AH31" s="566"/>
      <c r="AI31" s="567"/>
      <c r="AJ31" s="404"/>
      <c r="AL31" s="407"/>
      <c r="AM31" s="338"/>
      <c r="AN31" s="408"/>
      <c r="AO31" s="406"/>
      <c r="AP31" s="568"/>
      <c r="AQ31" s="338"/>
      <c r="AR31" s="338"/>
      <c r="AS31" s="407"/>
      <c r="AT31" s="406"/>
      <c r="AV31" s="407"/>
      <c r="AW31" s="505"/>
      <c r="AX31" s="338"/>
      <c r="AY31" s="569"/>
      <c r="AZ31" s="568"/>
      <c r="BA31" s="338"/>
      <c r="BB31" s="407"/>
    </row>
    <row r="32" spans="1:69" s="399" customFormat="1" x14ac:dyDescent="0.25">
      <c r="A32" s="713" t="str">
        <f>IF(A20&gt;0, A20, " ")</f>
        <v>New</v>
      </c>
      <c r="B32" s="713" t="str">
        <f>IF(B20&gt;0, B20, " ")</f>
        <v>HP12x 53</v>
      </c>
      <c r="C32" s="714">
        <f>IF(C20&gt;0, C20, " ")</f>
        <v>24</v>
      </c>
      <c r="D32" s="714">
        <f>IF(D20&gt;0, D20, " ")</f>
        <v>5</v>
      </c>
      <c r="E32" s="714">
        <f>IF(E20&gt;0, E20, " ")</f>
        <v>2.5</v>
      </c>
      <c r="F32" s="712">
        <f t="shared" ref="F32:K32" si="51">AM20</f>
        <v>9805147</v>
      </c>
      <c r="G32" s="707">
        <f t="shared" si="51"/>
        <v>536047</v>
      </c>
      <c r="H32" s="708">
        <f t="shared" si="51"/>
        <v>0</v>
      </c>
      <c r="I32" s="709">
        <f t="shared" si="51"/>
        <v>268.79999999999995</v>
      </c>
      <c r="J32" s="710" t="str">
        <f t="shared" si="51"/>
        <v>YES</v>
      </c>
      <c r="K32" s="710" t="str">
        <f t="shared" si="51"/>
        <v>YES</v>
      </c>
      <c r="L32" s="738"/>
      <c r="M32" s="739"/>
      <c r="N32" s="738"/>
      <c r="O32" s="401"/>
      <c r="P32" s="520" t="str">
        <f t="shared" ref="P32:V32" si="52">BC20</f>
        <v>HP12x 53</v>
      </c>
      <c r="Q32" s="532">
        <f t="shared" si="52"/>
        <v>66.8</v>
      </c>
      <c r="R32" s="414">
        <f t="shared" si="52"/>
        <v>0.34063742236602873</v>
      </c>
      <c r="S32" s="537" t="str">
        <f t="shared" si="52"/>
        <v>NO</v>
      </c>
      <c r="T32" s="527">
        <f t="shared" si="52"/>
        <v>4.7458499999999999</v>
      </c>
      <c r="U32" s="414">
        <f t="shared" si="52"/>
        <v>0.25674922161676117</v>
      </c>
      <c r="V32" s="537" t="str">
        <f t="shared" si="52"/>
        <v>NO</v>
      </c>
      <c r="W32" s="404"/>
      <c r="X32" s="711" t="str">
        <f>BK20</f>
        <v>NO</v>
      </c>
      <c r="Y32" s="686"/>
      <c r="Z32" s="686"/>
      <c r="AA32" s="236"/>
      <c r="AB32" s="690"/>
      <c r="AC32" s="692"/>
      <c r="AD32" s="692"/>
      <c r="AE32" s="407"/>
      <c r="AF32" s="407"/>
      <c r="AG32" s="595"/>
      <c r="AH32" s="566"/>
      <c r="AI32" s="567"/>
      <c r="AJ32" s="404"/>
      <c r="AL32" s="407"/>
      <c r="AM32" s="338"/>
      <c r="AN32" s="408"/>
      <c r="AO32" s="406"/>
      <c r="AP32" s="568"/>
      <c r="AQ32" s="338"/>
      <c r="AR32" s="338"/>
      <c r="AS32" s="407"/>
      <c r="AT32" s="406"/>
      <c r="AV32" s="407"/>
      <c r="AW32" s="505"/>
      <c r="AX32" s="338"/>
      <c r="AY32" s="569"/>
      <c r="AZ32" s="568"/>
      <c r="BA32" s="338"/>
      <c r="BB32" s="407"/>
    </row>
    <row r="33" spans="1:54" s="399" customFormat="1" ht="12.75" x14ac:dyDescent="0.2">
      <c r="A33" s="713" t="str">
        <f t="shared" ref="A33:E33" si="53">IF(A21&gt;0, A21, " ")</f>
        <v>New</v>
      </c>
      <c r="B33" s="713" t="str">
        <f t="shared" si="53"/>
        <v>HP12x 53</v>
      </c>
      <c r="C33" s="714">
        <f t="shared" si="53"/>
        <v>24</v>
      </c>
      <c r="D33" s="714">
        <f t="shared" si="53"/>
        <v>4</v>
      </c>
      <c r="E33" s="714">
        <f t="shared" si="53"/>
        <v>2</v>
      </c>
      <c r="F33" s="712">
        <f t="shared" ref="F33:K36" si="54">AM21</f>
        <v>7086559</v>
      </c>
      <c r="G33" s="707">
        <f t="shared" si="54"/>
        <v>398328</v>
      </c>
      <c r="H33" s="708">
        <f t="shared" si="54"/>
        <v>0</v>
      </c>
      <c r="I33" s="709">
        <f t="shared" si="54"/>
        <v>268.79999999999995</v>
      </c>
      <c r="J33" s="710" t="str">
        <f t="shared" si="54"/>
        <v>YES</v>
      </c>
      <c r="K33" s="710" t="str">
        <f t="shared" si="54"/>
        <v>YES</v>
      </c>
      <c r="L33" s="738"/>
      <c r="M33" s="739"/>
      <c r="N33" s="738"/>
      <c r="O33" s="401"/>
      <c r="P33" s="520" t="str">
        <f t="shared" ref="P33:V36" si="55">BC21</f>
        <v>HP12x 53</v>
      </c>
      <c r="Q33" s="532">
        <f t="shared" si="55"/>
        <v>66.8</v>
      </c>
      <c r="R33" s="414">
        <f t="shared" si="55"/>
        <v>0.47131478055851928</v>
      </c>
      <c r="S33" s="537" t="str">
        <f t="shared" si="55"/>
        <v>NO</v>
      </c>
      <c r="T33" s="527">
        <f t="shared" si="55"/>
        <v>4.7458499999999999</v>
      </c>
      <c r="U33" s="414">
        <f t="shared" si="55"/>
        <v>0.34551839187805017</v>
      </c>
      <c r="V33" s="537" t="str">
        <f t="shared" si="55"/>
        <v>NO</v>
      </c>
      <c r="W33" s="404"/>
      <c r="X33" s="711" t="str">
        <f>BK21</f>
        <v>NO</v>
      </c>
      <c r="Y33" s="753"/>
      <c r="Z33" s="752"/>
      <c r="AA33" s="566"/>
      <c r="AB33" s="567"/>
      <c r="AC33" s="404"/>
      <c r="AD33" s="404"/>
      <c r="AE33" s="407"/>
      <c r="AF33" s="407"/>
      <c r="AG33" s="595"/>
      <c r="AH33" s="566"/>
      <c r="AI33" s="567"/>
      <c r="AJ33" s="404"/>
      <c r="AL33" s="407"/>
      <c r="AM33" s="338"/>
      <c r="AN33" s="408"/>
      <c r="AO33" s="406"/>
      <c r="AP33" s="568"/>
      <c r="AQ33" s="338"/>
      <c r="AR33" s="338"/>
      <c r="AS33" s="407"/>
      <c r="AT33" s="406"/>
      <c r="AV33" s="407"/>
      <c r="AW33" s="505"/>
      <c r="AX33" s="338"/>
      <c r="AY33" s="569"/>
      <c r="AZ33" s="568"/>
      <c r="BA33" s="338"/>
      <c r="BB33" s="407"/>
    </row>
    <row r="34" spans="1:54" s="399" customFormat="1" ht="12.75" x14ac:dyDescent="0.2">
      <c r="A34" s="713"/>
      <c r="B34" s="713" t="str">
        <f t="shared" ref="B34:E36" si="56">IF(B22&gt;0, B22, " ")</f>
        <v>W18x 76</v>
      </c>
      <c r="C34" s="714">
        <f t="shared" si="56"/>
        <v>24</v>
      </c>
      <c r="D34" s="714">
        <f t="shared" si="56"/>
        <v>5</v>
      </c>
      <c r="E34" s="714">
        <f t="shared" si="56"/>
        <v>2.5</v>
      </c>
      <c r="F34" s="712">
        <f t="shared" si="54"/>
        <v>5343504</v>
      </c>
      <c r="G34" s="707">
        <f t="shared" si="54"/>
        <v>219911</v>
      </c>
      <c r="H34" s="708">
        <f t="shared" si="54"/>
        <v>3.5</v>
      </c>
      <c r="I34" s="709">
        <f t="shared" si="54"/>
        <v>268.79999999999995</v>
      </c>
      <c r="J34" s="710" t="str">
        <f t="shared" si="54"/>
        <v>NO</v>
      </c>
      <c r="K34" s="710" t="str">
        <f t="shared" si="54"/>
        <v>NO</v>
      </c>
      <c r="L34" s="738"/>
      <c r="M34" s="739"/>
      <c r="N34" s="738"/>
      <c r="O34" s="401"/>
      <c r="P34" s="520" t="str">
        <f t="shared" si="55"/>
        <v>W18x 76</v>
      </c>
      <c r="Q34" s="532">
        <f t="shared" si="55"/>
        <v>146</v>
      </c>
      <c r="R34" s="414">
        <f t="shared" si="55"/>
        <v>1.3661447619389824</v>
      </c>
      <c r="S34" s="537" t="str">
        <f t="shared" si="55"/>
        <v>YES</v>
      </c>
      <c r="T34" s="527">
        <f t="shared" si="55"/>
        <v>7.1612500000000008</v>
      </c>
      <c r="U34" s="414">
        <f t="shared" si="55"/>
        <v>0.94436499311084932</v>
      </c>
      <c r="V34" s="537" t="str">
        <f t="shared" si="55"/>
        <v>NO</v>
      </c>
      <c r="W34" s="404"/>
      <c r="X34" s="711" t="str">
        <f>BK22</f>
        <v>NO</v>
      </c>
      <c r="Y34" s="595"/>
      <c r="Z34" s="595"/>
      <c r="AA34" s="566"/>
      <c r="AB34" s="567"/>
      <c r="AC34" s="404"/>
      <c r="AD34" s="404"/>
      <c r="AE34" s="407"/>
      <c r="AF34" s="407"/>
      <c r="AG34" s="595"/>
      <c r="AH34" s="566"/>
      <c r="AI34" s="567"/>
      <c r="AJ34" s="404"/>
      <c r="AL34" s="407"/>
      <c r="AM34" s="338"/>
      <c r="AN34" s="408"/>
      <c r="AO34" s="406"/>
      <c r="AP34" s="568"/>
      <c r="AQ34" s="338"/>
      <c r="AR34" s="338"/>
      <c r="AS34" s="407"/>
      <c r="AT34" s="406"/>
      <c r="AV34" s="407"/>
      <c r="AW34" s="505"/>
      <c r="AX34" s="338"/>
      <c r="AY34" s="569"/>
      <c r="AZ34" s="568"/>
      <c r="BA34" s="338"/>
      <c r="BB34" s="407"/>
    </row>
    <row r="35" spans="1:54" s="399" customFormat="1" ht="12.75" x14ac:dyDescent="0.2">
      <c r="A35" s="713" t="str">
        <f>IF(A23&gt;0, A23, " ")</f>
        <v xml:space="preserve"> </v>
      </c>
      <c r="B35" s="713" t="str">
        <f t="shared" si="56"/>
        <v xml:space="preserve"> </v>
      </c>
      <c r="C35" s="714" t="str">
        <f t="shared" si="56"/>
        <v xml:space="preserve"> </v>
      </c>
      <c r="D35" s="714" t="str">
        <f t="shared" si="56"/>
        <v xml:space="preserve"> </v>
      </c>
      <c r="E35" s="714" t="str">
        <f t="shared" si="56"/>
        <v xml:space="preserve"> </v>
      </c>
      <c r="F35" s="712">
        <f t="shared" si="54"/>
        <v>0</v>
      </c>
      <c r="G35" s="707">
        <f t="shared" si="54"/>
        <v>0</v>
      </c>
      <c r="H35" s="708">
        <f t="shared" si="54"/>
        <v>0</v>
      </c>
      <c r="I35" s="709">
        <f t="shared" si="54"/>
        <v>0</v>
      </c>
      <c r="J35" s="710">
        <f t="shared" si="54"/>
        <v>0</v>
      </c>
      <c r="K35" s="710">
        <f t="shared" si="54"/>
        <v>0</v>
      </c>
      <c r="L35" s="738"/>
      <c r="M35" s="739"/>
      <c r="N35" s="738"/>
      <c r="O35" s="401"/>
      <c r="P35" s="520">
        <f t="shared" si="55"/>
        <v>0</v>
      </c>
      <c r="Q35" s="532">
        <f t="shared" si="55"/>
        <v>0</v>
      </c>
      <c r="R35" s="414">
        <f t="shared" si="55"/>
        <v>0</v>
      </c>
      <c r="S35" s="537">
        <f t="shared" si="55"/>
        <v>0</v>
      </c>
      <c r="T35" s="527">
        <f t="shared" si="55"/>
        <v>0</v>
      </c>
      <c r="U35" s="414">
        <f t="shared" si="55"/>
        <v>0</v>
      </c>
      <c r="V35" s="537">
        <f t="shared" si="55"/>
        <v>0</v>
      </c>
      <c r="W35" s="404"/>
      <c r="X35" s="711">
        <f>BK23</f>
        <v>0</v>
      </c>
      <c r="Y35" s="595"/>
      <c r="Z35" s="595"/>
      <c r="AA35" s="566"/>
      <c r="AB35" s="567"/>
      <c r="AC35" s="404"/>
      <c r="AD35" s="404"/>
      <c r="AE35" s="407"/>
      <c r="AF35" s="407"/>
      <c r="AG35" s="595"/>
      <c r="AH35" s="566"/>
      <c r="AI35" s="567"/>
      <c r="AJ35" s="404"/>
      <c r="AL35" s="407"/>
      <c r="AM35" s="338"/>
      <c r="AN35" s="408"/>
      <c r="AO35" s="406"/>
      <c r="AP35" s="568"/>
      <c r="AQ35" s="338"/>
      <c r="AR35" s="338"/>
      <c r="AS35" s="407"/>
      <c r="AT35" s="406"/>
      <c r="AV35" s="407"/>
      <c r="AW35" s="505"/>
      <c r="AX35" s="338"/>
      <c r="AY35" s="569"/>
      <c r="AZ35" s="568"/>
      <c r="BA35" s="338"/>
      <c r="BB35" s="407"/>
    </row>
    <row r="36" spans="1:54" s="399" customFormat="1" ht="12.75" x14ac:dyDescent="0.2">
      <c r="A36" s="713" t="str">
        <f>IF(A24&gt;0, A24, " ")</f>
        <v xml:space="preserve"> </v>
      </c>
      <c r="B36" s="713" t="str">
        <f t="shared" si="56"/>
        <v xml:space="preserve"> </v>
      </c>
      <c r="C36" s="714" t="str">
        <f t="shared" si="56"/>
        <v xml:space="preserve"> </v>
      </c>
      <c r="D36" s="714" t="str">
        <f t="shared" si="56"/>
        <v xml:space="preserve"> </v>
      </c>
      <c r="E36" s="714" t="str">
        <f t="shared" si="56"/>
        <v xml:space="preserve"> </v>
      </c>
      <c r="F36" s="712">
        <f t="shared" si="54"/>
        <v>0</v>
      </c>
      <c r="G36" s="707">
        <f t="shared" si="54"/>
        <v>0</v>
      </c>
      <c r="H36" s="708">
        <f t="shared" si="54"/>
        <v>0</v>
      </c>
      <c r="I36" s="709">
        <f t="shared" si="54"/>
        <v>0</v>
      </c>
      <c r="J36" s="710">
        <f t="shared" si="54"/>
        <v>0</v>
      </c>
      <c r="K36" s="710">
        <f t="shared" si="54"/>
        <v>0</v>
      </c>
      <c r="L36" s="738"/>
      <c r="M36" s="739"/>
      <c r="N36" s="738"/>
      <c r="O36" s="401"/>
      <c r="P36" s="520">
        <f t="shared" si="55"/>
        <v>0</v>
      </c>
      <c r="Q36" s="532">
        <f t="shared" si="55"/>
        <v>0</v>
      </c>
      <c r="R36" s="414">
        <f t="shared" si="55"/>
        <v>0</v>
      </c>
      <c r="S36" s="537">
        <f t="shared" si="55"/>
        <v>0</v>
      </c>
      <c r="T36" s="527">
        <f t="shared" si="55"/>
        <v>0</v>
      </c>
      <c r="U36" s="414">
        <f t="shared" si="55"/>
        <v>0</v>
      </c>
      <c r="V36" s="537">
        <f t="shared" si="55"/>
        <v>0</v>
      </c>
      <c r="W36" s="404"/>
      <c r="X36" s="711">
        <f>BK24</f>
        <v>0</v>
      </c>
      <c r="Y36" s="595"/>
      <c r="Z36" s="595"/>
      <c r="AA36" s="566"/>
      <c r="AB36" s="567"/>
      <c r="AC36" s="404"/>
      <c r="AD36" s="404"/>
      <c r="AE36" s="407"/>
      <c r="AF36" s="407"/>
      <c r="AG36" s="595"/>
      <c r="AH36" s="566"/>
      <c r="AI36" s="567"/>
      <c r="AJ36" s="404"/>
      <c r="AL36" s="407"/>
      <c r="AM36" s="338"/>
      <c r="AN36" s="408"/>
      <c r="AO36" s="406"/>
      <c r="AP36" s="568"/>
      <c r="AQ36" s="338"/>
      <c r="AR36" s="338"/>
      <c r="AS36" s="407"/>
      <c r="AT36" s="406"/>
      <c r="AV36" s="407"/>
      <c r="AW36" s="505"/>
      <c r="AX36" s="338"/>
      <c r="AY36" s="569"/>
      <c r="AZ36" s="568"/>
      <c r="BA36" s="338"/>
      <c r="BB36" s="407"/>
    </row>
  </sheetData>
  <sortState xmlns:xlrd2="http://schemas.microsoft.com/office/spreadsheetml/2017/richdata2" ref="A22:AS25">
    <sortCondition ref="E22:E25"/>
    <sortCondition descending="1" ref="D22:D25"/>
  </sortState>
  <mergeCells count="12">
    <mergeCell ref="F26:G26"/>
    <mergeCell ref="H26:K26"/>
    <mergeCell ref="L26:N26"/>
    <mergeCell ref="C4:E6"/>
    <mergeCell ref="B4:B6"/>
    <mergeCell ref="B1:D1"/>
    <mergeCell ref="B2:D2"/>
    <mergeCell ref="AO14:AR14"/>
    <mergeCell ref="AM14:AN14"/>
    <mergeCell ref="AB2:AD2"/>
    <mergeCell ref="R2:S2"/>
    <mergeCell ref="B7:N13"/>
  </mergeCells>
  <dataValidations count="3">
    <dataValidation type="list" allowBlank="1" showInputMessage="1" showErrorMessage="1" sqref="AB2:AD2" xr:uid="{00000000-0002-0000-0000-000000000000}">
      <formula1>$AE$9:$AE$11</formula1>
    </dataValidation>
    <dataValidation type="list" allowBlank="1" showInputMessage="1" showErrorMessage="1" sqref="F25" xr:uid="{00000000-0002-0000-0000-000001000000}">
      <formula1>#REF!</formula1>
    </dataValidation>
    <dataValidation type="list" allowBlank="1" showInputMessage="1" showErrorMessage="1" sqref="F20:F24" xr:uid="{00000000-0002-0000-0000-000002000000}">
      <formula1>$AE$2:$AE$6</formula1>
    </dataValidation>
  </dataValidations>
  <pageMargins left="0.25" right="0.25" top="0.75" bottom="0.75" header="0.3" footer="0.3"/>
  <pageSetup paperSize="3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0"/>
  <sheetViews>
    <sheetView workbookViewId="0">
      <selection activeCell="S14" sqref="S14"/>
    </sheetView>
  </sheetViews>
  <sheetFormatPr defaultRowHeight="12.75" x14ac:dyDescent="0.2"/>
  <cols>
    <col min="1" max="1" width="8.140625" style="291" customWidth="1"/>
    <col min="2" max="2" width="8.85546875" style="291" customWidth="1"/>
    <col min="3" max="3" width="7" style="291" customWidth="1"/>
    <col min="4" max="4" width="4.42578125" style="291" customWidth="1"/>
    <col min="5" max="5" width="4.5703125" style="291" customWidth="1"/>
    <col min="6" max="7" width="7.28515625" style="291" customWidth="1"/>
    <col min="8" max="8" width="4.5703125" style="291" customWidth="1"/>
    <col min="9" max="9" width="6.42578125" style="291" bestFit="1" customWidth="1"/>
    <col min="10" max="10" width="6.42578125" style="291" customWidth="1"/>
    <col min="11" max="11" width="6.42578125" style="291" bestFit="1" customWidth="1"/>
    <col min="12" max="12" width="7.5703125" style="299" customWidth="1"/>
    <col min="13" max="14" width="7.5703125" style="299" bestFit="1" customWidth="1"/>
    <col min="15" max="19" width="10.140625" style="299" bestFit="1" customWidth="1"/>
    <col min="20" max="16384" width="9.140625" style="291"/>
  </cols>
  <sheetData>
    <row r="1" spans="1:19" s="292" customFormat="1" ht="15.75" x14ac:dyDescent="0.25">
      <c r="A1" s="22" t="s">
        <v>405</v>
      </c>
      <c r="L1" s="298"/>
      <c r="M1" s="298"/>
      <c r="N1" s="298"/>
      <c r="O1" s="298"/>
      <c r="P1" s="298"/>
      <c r="Q1" s="298"/>
      <c r="R1" s="298"/>
      <c r="S1" s="298"/>
    </row>
    <row r="2" spans="1:19" ht="13.5" thickBot="1" x14ac:dyDescent="0.25"/>
    <row r="3" spans="1:19" s="11" customFormat="1" x14ac:dyDescent="0.2">
      <c r="A3" s="329" t="s">
        <v>65</v>
      </c>
      <c r="B3" s="331"/>
      <c r="C3" s="332"/>
      <c r="D3" s="332"/>
      <c r="E3" s="330"/>
      <c r="F3" s="329" t="s">
        <v>66</v>
      </c>
      <c r="G3" s="330"/>
      <c r="H3" s="329" t="s">
        <v>429</v>
      </c>
      <c r="I3" s="332"/>
      <c r="J3" s="332"/>
      <c r="K3" s="330"/>
      <c r="L3" s="309" t="s">
        <v>406</v>
      </c>
      <c r="M3" s="310"/>
      <c r="N3" s="310"/>
      <c r="O3" s="310"/>
      <c r="P3" s="312"/>
      <c r="Q3" s="312"/>
      <c r="R3" s="312"/>
      <c r="S3" s="312" t="s">
        <v>0</v>
      </c>
    </row>
    <row r="4" spans="1:19" s="11" customFormat="1" x14ac:dyDescent="0.2">
      <c r="A4" s="333" t="s">
        <v>31</v>
      </c>
      <c r="B4" s="23" t="s">
        <v>27</v>
      </c>
      <c r="C4" s="13" t="s">
        <v>23</v>
      </c>
      <c r="D4" s="13" t="s">
        <v>25</v>
      </c>
      <c r="E4" s="98" t="s">
        <v>32</v>
      </c>
      <c r="F4" s="89" t="s">
        <v>407</v>
      </c>
      <c r="G4" s="98" t="s">
        <v>39</v>
      </c>
      <c r="H4" s="89" t="s">
        <v>412</v>
      </c>
      <c r="I4" s="13" t="s">
        <v>419</v>
      </c>
      <c r="J4" s="13" t="s">
        <v>420</v>
      </c>
      <c r="K4" s="98" t="s">
        <v>422</v>
      </c>
      <c r="L4" s="295" t="s">
        <v>407</v>
      </c>
      <c r="M4" s="296" t="s">
        <v>407</v>
      </c>
      <c r="N4" s="216" t="s">
        <v>27</v>
      </c>
      <c r="O4" s="302" t="s">
        <v>414</v>
      </c>
      <c r="P4" s="313" t="s">
        <v>0</v>
      </c>
      <c r="Q4" s="313" t="s">
        <v>411</v>
      </c>
      <c r="R4" s="313" t="s">
        <v>411</v>
      </c>
      <c r="S4" s="313" t="s">
        <v>411</v>
      </c>
    </row>
    <row r="5" spans="1:19" s="11" customFormat="1" x14ac:dyDescent="0.2">
      <c r="A5" s="334" t="s">
        <v>29</v>
      </c>
      <c r="B5" s="24" t="s">
        <v>8</v>
      </c>
      <c r="C5" s="16" t="s">
        <v>24</v>
      </c>
      <c r="D5" s="16" t="s">
        <v>26</v>
      </c>
      <c r="E5" s="99" t="s">
        <v>33</v>
      </c>
      <c r="F5" s="90" t="s">
        <v>360</v>
      </c>
      <c r="G5" s="99" t="s">
        <v>40</v>
      </c>
      <c r="H5" s="90" t="s">
        <v>1</v>
      </c>
      <c r="I5" s="16" t="s">
        <v>418</v>
      </c>
      <c r="J5" s="16" t="s">
        <v>418</v>
      </c>
      <c r="K5" s="99" t="s">
        <v>409</v>
      </c>
      <c r="L5" s="297" t="s">
        <v>360</v>
      </c>
      <c r="M5" s="289" t="s">
        <v>361</v>
      </c>
      <c r="N5" s="216" t="s">
        <v>8</v>
      </c>
      <c r="O5" s="216" t="s">
        <v>415</v>
      </c>
      <c r="P5" s="314" t="s">
        <v>409</v>
      </c>
      <c r="Q5" s="314" t="s">
        <v>424</v>
      </c>
      <c r="R5" s="314" t="s">
        <v>424</v>
      </c>
      <c r="S5" s="314" t="s">
        <v>384</v>
      </c>
    </row>
    <row r="6" spans="1:19" s="11" customFormat="1" x14ac:dyDescent="0.2">
      <c r="A6" s="334"/>
      <c r="B6" s="24"/>
      <c r="C6" s="16" t="s">
        <v>7</v>
      </c>
      <c r="D6" s="16"/>
      <c r="E6" s="99"/>
      <c r="F6" s="90" t="s">
        <v>39</v>
      </c>
      <c r="G6" s="99" t="s">
        <v>2</v>
      </c>
      <c r="H6" s="90" t="s">
        <v>48</v>
      </c>
      <c r="I6" s="16" t="s">
        <v>44</v>
      </c>
      <c r="J6" s="16" t="s">
        <v>44</v>
      </c>
      <c r="K6" s="99" t="s">
        <v>1</v>
      </c>
      <c r="L6" s="297" t="s">
        <v>39</v>
      </c>
      <c r="M6" s="289" t="s">
        <v>39</v>
      </c>
      <c r="N6" s="216" t="s">
        <v>411</v>
      </c>
      <c r="O6" s="216" t="s">
        <v>24</v>
      </c>
      <c r="P6" s="314" t="s">
        <v>416</v>
      </c>
      <c r="Q6" s="314" t="s">
        <v>418</v>
      </c>
      <c r="R6" s="314" t="s">
        <v>425</v>
      </c>
      <c r="S6" s="314" t="s">
        <v>417</v>
      </c>
    </row>
    <row r="7" spans="1:19" ht="13.5" thickBot="1" x14ac:dyDescent="0.25">
      <c r="A7" s="415" t="s">
        <v>30</v>
      </c>
      <c r="B7" s="416" t="s">
        <v>28</v>
      </c>
      <c r="C7" s="417" t="s">
        <v>3</v>
      </c>
      <c r="D7" s="417" t="s">
        <v>22</v>
      </c>
      <c r="E7" s="418" t="s">
        <v>34</v>
      </c>
      <c r="F7" s="419" t="s">
        <v>34</v>
      </c>
      <c r="G7" s="418" t="s">
        <v>34</v>
      </c>
      <c r="H7" s="419" t="s">
        <v>413</v>
      </c>
      <c r="I7" s="417" t="s">
        <v>34</v>
      </c>
      <c r="J7" s="417" t="s">
        <v>34</v>
      </c>
      <c r="K7" s="418" t="s">
        <v>22</v>
      </c>
      <c r="L7" s="420" t="s">
        <v>408</v>
      </c>
      <c r="M7" s="421" t="s">
        <v>408</v>
      </c>
      <c r="N7" s="311" t="s">
        <v>408</v>
      </c>
      <c r="O7" s="311" t="s">
        <v>410</v>
      </c>
      <c r="P7" s="422" t="s">
        <v>410</v>
      </c>
      <c r="Q7" s="422" t="s">
        <v>408</v>
      </c>
      <c r="R7" s="422" t="s">
        <v>408</v>
      </c>
      <c r="S7" s="422" t="s">
        <v>408</v>
      </c>
    </row>
    <row r="8" spans="1:19" x14ac:dyDescent="0.2">
      <c r="A8" s="336" t="str">
        <f>Inputs!A20</f>
        <v>New</v>
      </c>
      <c r="B8" s="308" t="str">
        <f>Inputs!B20</f>
        <v>HP12x 53</v>
      </c>
      <c r="C8" s="103">
        <f>Inputs!C20</f>
        <v>24</v>
      </c>
      <c r="D8" s="103">
        <f>Inputs!E20</f>
        <v>2.5</v>
      </c>
      <c r="E8" s="293" t="str">
        <f>Inputs!F20</f>
        <v>Precast Lagging</v>
      </c>
      <c r="F8" s="102">
        <f>IF(Inputs!O20&lt;(Inputs!K20*12),Inputs!O20/12,Inputs!K20)</f>
        <v>22.4</v>
      </c>
      <c r="G8" s="294">
        <f>IF(Inputs!O20&lt;(Inputs!K20*12),0,(Inputs!O20/12)-Inputs!K20)</f>
        <v>7.9999999999999964</v>
      </c>
      <c r="H8" s="102" t="str">
        <f>IF(Inputs!F20="Plug Pile Wall","Y","N")</f>
        <v>N</v>
      </c>
      <c r="I8" s="103">
        <f>IF(Inputs!F20="Precast Lagging",Inputs!M20,0)</f>
        <v>8</v>
      </c>
      <c r="J8" s="103">
        <f>IF(Inputs!F20="Timber Lagging",Inputs!M20,0)</f>
        <v>0</v>
      </c>
      <c r="K8" s="294">
        <f>Inputs!G20</f>
        <v>0</v>
      </c>
      <c r="L8" s="306">
        <f>LOOKUP(C8,Lookups!AU$5:AU$18,Lookups!AY$5:AY$18)</f>
        <v>27</v>
      </c>
      <c r="M8" s="304">
        <f>LOOKUP(C8,Lookups!AU$5:AU$18,Lookups!AZ$5:AZ$18)</f>
        <v>127</v>
      </c>
      <c r="N8" s="304">
        <f>LOOKUP(B8,Lookups!A$5:A$265,Lookups!J$5:J$265)*1.25</f>
        <v>66.25</v>
      </c>
      <c r="O8" s="301">
        <f>(F8*L8)+(G8*M8)+((F8+G8)*N8)+(K8*Lookups!AY$23)</f>
        <v>3634.7999999999993</v>
      </c>
      <c r="P8" s="316">
        <f>IF(H8="Y",Inputs!M20*L8,0)</f>
        <v>0</v>
      </c>
      <c r="Q8" s="316">
        <f>(I8*Lookups!AW$23)+(J8*Lookups!AX$23)</f>
        <v>160</v>
      </c>
      <c r="R8" s="316">
        <f t="shared" ref="R8:R26" si="0">IF(I8&gt;0,(1*(8*I8+I8^2/2))/(27/1)*(12/1),IF(J8&gt;0,(1*(8*J8+J8^2/2))/(27/1)*(12/1),0))</f>
        <v>42.666666666666664</v>
      </c>
      <c r="S8" s="316">
        <f t="shared" ref="S8:S26" si="1">(O8+P8)/((C8/12)*D8)+Q8</f>
        <v>886.95999999999981</v>
      </c>
    </row>
    <row r="9" spans="1:19" x14ac:dyDescent="0.2">
      <c r="A9" s="335" t="str">
        <f>Inputs!A21</f>
        <v>New</v>
      </c>
      <c r="B9" s="307" t="str">
        <f>Inputs!B21</f>
        <v>HP12x 53</v>
      </c>
      <c r="C9" s="101">
        <f>Inputs!C21</f>
        <v>24</v>
      </c>
      <c r="D9" s="101">
        <f>Inputs!E21</f>
        <v>2</v>
      </c>
      <c r="E9" s="293" t="str">
        <f>Inputs!F21</f>
        <v>Precast Lagging</v>
      </c>
      <c r="F9" s="100">
        <f>IF(Inputs!O21&lt;(Inputs!K21*12),Inputs!O21/12,Inputs!K21)</f>
        <v>22.4</v>
      </c>
      <c r="G9" s="293">
        <f>IF(Inputs!O21&lt;(Inputs!K21*12),0,(Inputs!O21/12)-Inputs!K21)</f>
        <v>7.9999999999999964</v>
      </c>
      <c r="H9" s="100" t="str">
        <f>IF(Inputs!F21="Plug Pile Wall","Y","N")</f>
        <v>N</v>
      </c>
      <c r="I9" s="101">
        <f>IF(Inputs!F21="Precast Lagging",Inputs!M21,0)</f>
        <v>8</v>
      </c>
      <c r="J9" s="101">
        <f>IF(Inputs!F21="Timber Lagging",Inputs!M21,0)</f>
        <v>0</v>
      </c>
      <c r="K9" s="293">
        <f>Inputs!G21</f>
        <v>0</v>
      </c>
      <c r="L9" s="305">
        <f>LOOKUP(C9,Lookups!AU$5:AU$18,Lookups!AY$5:AY$18)</f>
        <v>27</v>
      </c>
      <c r="M9" s="303">
        <f>LOOKUP(C9,Lookups!AU$5:AU$18,Lookups!AZ$5:AZ$18)</f>
        <v>127</v>
      </c>
      <c r="N9" s="303">
        <f>LOOKUP(B9,Lookups!A$5:A$265,Lookups!J$5:J$265)*1.25</f>
        <v>66.25</v>
      </c>
      <c r="O9" s="300">
        <f>(F9*L9)+(G9*M9)+((F9+G9)*N9)+(K9*Lookups!AY$23)</f>
        <v>3634.7999999999993</v>
      </c>
      <c r="P9" s="315">
        <f>IF(H9="Y",Inputs!M21*L9,0)</f>
        <v>0</v>
      </c>
      <c r="Q9" s="315">
        <f>(I9*Lookups!AW$23)+(J9*Lookups!AX$23)</f>
        <v>160</v>
      </c>
      <c r="R9" s="315">
        <f t="shared" si="0"/>
        <v>42.666666666666664</v>
      </c>
      <c r="S9" s="315">
        <f t="shared" si="1"/>
        <v>1068.6999999999998</v>
      </c>
    </row>
    <row r="10" spans="1:19" x14ac:dyDescent="0.2">
      <c r="A10" s="335" t="str">
        <f>Inputs!A22</f>
        <v>New</v>
      </c>
      <c r="B10" s="307" t="str">
        <f>Inputs!B22</f>
        <v>W18x 76</v>
      </c>
      <c r="C10" s="101">
        <f>Inputs!C22</f>
        <v>24</v>
      </c>
      <c r="D10" s="101">
        <f>Inputs!E22</f>
        <v>2.5</v>
      </c>
      <c r="E10" s="293" t="str">
        <f>Inputs!F22</f>
        <v>Precast Lagging</v>
      </c>
      <c r="F10" s="100">
        <f>IF(Inputs!O22&lt;(Inputs!K22*12),Inputs!O22/12,Inputs!K22)</f>
        <v>22.4</v>
      </c>
      <c r="G10" s="293">
        <f>IF(Inputs!O22&lt;(Inputs!K22*12),0,(Inputs!O22/12)-Inputs!K22)</f>
        <v>7.9999999999999964</v>
      </c>
      <c r="H10" s="100" t="str">
        <f>IF(Inputs!F22="Plug Pile Wall","Y","N")</f>
        <v>N</v>
      </c>
      <c r="I10" s="101">
        <f>IF(Inputs!F22="Precast Lagging",Inputs!M22,0)</f>
        <v>8</v>
      </c>
      <c r="J10" s="101">
        <f>IF(Inputs!F22="Timber Lagging",Inputs!M22,0)</f>
        <v>0</v>
      </c>
      <c r="K10" s="293">
        <f>Inputs!G22</f>
        <v>0</v>
      </c>
      <c r="L10" s="305">
        <f>LOOKUP(C10,Lookups!AU$5:AU$18,Lookups!AY$5:AY$18)</f>
        <v>27</v>
      </c>
      <c r="M10" s="303">
        <f>LOOKUP(C10,Lookups!AU$5:AU$18,Lookups!AZ$5:AZ$18)</f>
        <v>127</v>
      </c>
      <c r="N10" s="303">
        <f>LOOKUP(B10,Lookups!A$5:A$265,Lookups!J$5:J$265)*1.25</f>
        <v>95</v>
      </c>
      <c r="O10" s="300">
        <f>(F10*L10)+(G10*M10)+((F10+G10)*N10)+(K10*Lookups!AY$23)</f>
        <v>4508.7999999999993</v>
      </c>
      <c r="P10" s="315">
        <f>IF(H10="Y",Inputs!M22*L10,0)</f>
        <v>0</v>
      </c>
      <c r="Q10" s="315">
        <f>(I10*Lookups!AW$23)+(J10*Lookups!AX$23)</f>
        <v>160</v>
      </c>
      <c r="R10" s="315">
        <f t="shared" si="0"/>
        <v>42.666666666666664</v>
      </c>
      <c r="S10" s="315">
        <f t="shared" si="1"/>
        <v>1061.7599999999998</v>
      </c>
    </row>
    <row r="11" spans="1:19" x14ac:dyDescent="0.2">
      <c r="A11" s="335">
        <f>Inputs!A23</f>
        <v>0</v>
      </c>
      <c r="B11" s="307">
        <f>Inputs!B23</f>
        <v>0</v>
      </c>
      <c r="C11" s="101">
        <f>Inputs!C23</f>
        <v>0</v>
      </c>
      <c r="D11" s="101">
        <f>Inputs!E23</f>
        <v>0</v>
      </c>
      <c r="E11" s="293">
        <f>Inputs!F23</f>
        <v>0</v>
      </c>
      <c r="F11" s="100">
        <f>IF(Inputs!O23&lt;(Inputs!K23*12),Inputs!O23/12,Inputs!K23)</f>
        <v>0</v>
      </c>
      <c r="G11" s="293">
        <f>IF(Inputs!O23&lt;(Inputs!K23*12),0,(Inputs!O23/12)-Inputs!K23)</f>
        <v>0</v>
      </c>
      <c r="H11" s="100" t="str">
        <f>IF(Inputs!F23="Plug Pile Wall","Y","N")</f>
        <v>N</v>
      </c>
      <c r="I11" s="101">
        <f>IF(Inputs!F23="Precast Lagging",Inputs!M23,0)</f>
        <v>0</v>
      </c>
      <c r="J11" s="101">
        <f>IF(Inputs!F23="Timber Lagging",Inputs!M23,0)</f>
        <v>0</v>
      </c>
      <c r="K11" s="293">
        <f>Inputs!G23</f>
        <v>0</v>
      </c>
      <c r="L11" s="305" t="e">
        <f>LOOKUP(C11,Lookups!AU$5:AU$18,Lookups!AY$5:AY$18)</f>
        <v>#N/A</v>
      </c>
      <c r="M11" s="303" t="e">
        <f>LOOKUP(C11,Lookups!AU$5:AU$18,Lookups!AZ$5:AZ$18)</f>
        <v>#N/A</v>
      </c>
      <c r="N11" s="303" t="e">
        <f>LOOKUP(B11,Lookups!A$5:A$265,Lookups!J$5:J$265)*1.25</f>
        <v>#N/A</v>
      </c>
      <c r="O11" s="300" t="e">
        <f>(F11*L11)+(G11*M11)+((F11+G11)*N11)+(K11*Lookups!AY$23)</f>
        <v>#N/A</v>
      </c>
      <c r="P11" s="315">
        <f>IF(H11="Y",Inputs!M23*L11,0)</f>
        <v>0</v>
      </c>
      <c r="Q11" s="315">
        <f>(I11*Lookups!AW$23)+(J11*Lookups!AX$23)</f>
        <v>0</v>
      </c>
      <c r="R11" s="315">
        <f t="shared" si="0"/>
        <v>0</v>
      </c>
      <c r="S11" s="315" t="e">
        <f t="shared" si="1"/>
        <v>#N/A</v>
      </c>
    </row>
    <row r="12" spans="1:19" x14ac:dyDescent="0.2">
      <c r="A12" s="335" t="e">
        <f>Inputs!#REF!</f>
        <v>#REF!</v>
      </c>
      <c r="B12" s="307" t="e">
        <f>Inputs!#REF!</f>
        <v>#REF!</v>
      </c>
      <c r="C12" s="101" t="e">
        <f>Inputs!#REF!</f>
        <v>#REF!</v>
      </c>
      <c r="D12" s="101" t="e">
        <f>Inputs!#REF!</f>
        <v>#REF!</v>
      </c>
      <c r="E12" s="293" t="e">
        <f>Inputs!#REF!</f>
        <v>#REF!</v>
      </c>
      <c r="F12" s="100" t="e">
        <f>IF(Inputs!#REF!&lt;(Inputs!#REF!*12),Inputs!#REF!/12,Inputs!#REF!)</f>
        <v>#REF!</v>
      </c>
      <c r="G12" s="293" t="e">
        <f>IF(Inputs!#REF!&lt;(Inputs!#REF!*12),0,(Inputs!#REF!/12)-Inputs!#REF!)</f>
        <v>#REF!</v>
      </c>
      <c r="H12" s="100" t="e">
        <f>IF(Inputs!#REF!="Plug Pile Wall","Y","N")</f>
        <v>#REF!</v>
      </c>
      <c r="I12" s="101" t="e">
        <f>IF(Inputs!#REF!="Precast Lagging",Inputs!#REF!,0)</f>
        <v>#REF!</v>
      </c>
      <c r="J12" s="101" t="e">
        <f>IF(Inputs!#REF!="Timber Lagging",Inputs!#REF!,0)</f>
        <v>#REF!</v>
      </c>
      <c r="K12" s="293" t="e">
        <f>Inputs!#REF!</f>
        <v>#REF!</v>
      </c>
      <c r="L12" s="305" t="e">
        <f>LOOKUP(C12,Lookups!AU$5:AU$18,Lookups!AY$5:AY$18)</f>
        <v>#REF!</v>
      </c>
      <c r="M12" s="303" t="e">
        <f>LOOKUP(C12,Lookups!AU$5:AU$18,Lookups!AZ$5:AZ$18)</f>
        <v>#REF!</v>
      </c>
      <c r="N12" s="303" t="e">
        <f>LOOKUP(B12,Lookups!A$5:A$265,Lookups!J$5:J$265)*1.25</f>
        <v>#REF!</v>
      </c>
      <c r="O12" s="300" t="e">
        <f>(F12*L12)+(G12*M12)+((F12+G12)*N12)+(K12*Lookups!AY$23)</f>
        <v>#REF!</v>
      </c>
      <c r="P12" s="315" t="e">
        <f>IF(H12="Y",Inputs!#REF!*L12,0)</f>
        <v>#REF!</v>
      </c>
      <c r="Q12" s="315" t="e">
        <f>(I12*Lookups!AW$23)+(J12*Lookups!AX$23)</f>
        <v>#REF!</v>
      </c>
      <c r="R12" s="315" t="e">
        <f t="shared" si="0"/>
        <v>#REF!</v>
      </c>
      <c r="S12" s="315" t="e">
        <f t="shared" si="1"/>
        <v>#REF!</v>
      </c>
    </row>
    <row r="13" spans="1:19" x14ac:dyDescent="0.2">
      <c r="A13" s="335" t="e">
        <f>Inputs!#REF!</f>
        <v>#REF!</v>
      </c>
      <c r="B13" s="307" t="e">
        <f>Inputs!#REF!</f>
        <v>#REF!</v>
      </c>
      <c r="C13" s="101" t="e">
        <f>Inputs!#REF!</f>
        <v>#REF!</v>
      </c>
      <c r="D13" s="101" t="e">
        <f>Inputs!#REF!</f>
        <v>#REF!</v>
      </c>
      <c r="E13" s="293" t="e">
        <f>Inputs!#REF!</f>
        <v>#REF!</v>
      </c>
      <c r="F13" s="100" t="e">
        <f>IF(Inputs!#REF!&lt;(Inputs!#REF!*12),Inputs!#REF!/12,Inputs!#REF!)</f>
        <v>#REF!</v>
      </c>
      <c r="G13" s="293" t="e">
        <f>IF(Inputs!#REF!&lt;(Inputs!#REF!*12),0,(Inputs!#REF!/12)-Inputs!#REF!)</f>
        <v>#REF!</v>
      </c>
      <c r="H13" s="100" t="e">
        <f>IF(Inputs!#REF!="Plug Pile Wall","Y","N")</f>
        <v>#REF!</v>
      </c>
      <c r="I13" s="101" t="e">
        <f>IF(Inputs!#REF!="Precast Lagging",Inputs!#REF!,0)</f>
        <v>#REF!</v>
      </c>
      <c r="J13" s="101" t="e">
        <f>IF(Inputs!#REF!="Timber Lagging",Inputs!#REF!,0)</f>
        <v>#REF!</v>
      </c>
      <c r="K13" s="293" t="e">
        <f>Inputs!#REF!</f>
        <v>#REF!</v>
      </c>
      <c r="L13" s="305" t="e">
        <f>LOOKUP(C13,Lookups!AU$5:AU$18,Lookups!AY$5:AY$18)</f>
        <v>#REF!</v>
      </c>
      <c r="M13" s="303" t="e">
        <f>LOOKUP(C13,Lookups!AU$5:AU$18,Lookups!AZ$5:AZ$18)</f>
        <v>#REF!</v>
      </c>
      <c r="N13" s="303" t="e">
        <f>LOOKUP(B13,Lookups!A$5:A$265,Lookups!J$5:J$265)*1.25</f>
        <v>#REF!</v>
      </c>
      <c r="O13" s="300" t="e">
        <f>(F13*L13)+(G13*M13)+((F13+G13)*N13)+(K13*Lookups!AY$23)</f>
        <v>#REF!</v>
      </c>
      <c r="P13" s="315" t="e">
        <f>IF(H13="Y",Inputs!#REF!*L13,0)</f>
        <v>#REF!</v>
      </c>
      <c r="Q13" s="315" t="e">
        <f>(I13*Lookups!AW$23)+(J13*Lookups!AX$23)</f>
        <v>#REF!</v>
      </c>
      <c r="R13" s="315" t="e">
        <f t="shared" si="0"/>
        <v>#REF!</v>
      </c>
      <c r="S13" s="315" t="e">
        <f t="shared" si="1"/>
        <v>#REF!</v>
      </c>
    </row>
    <row r="14" spans="1:19" x14ac:dyDescent="0.2">
      <c r="A14" s="335" t="e">
        <f>Inputs!#REF!</f>
        <v>#REF!</v>
      </c>
      <c r="B14" s="307" t="e">
        <f>Inputs!#REF!</f>
        <v>#REF!</v>
      </c>
      <c r="C14" s="101" t="e">
        <f>Inputs!#REF!</f>
        <v>#REF!</v>
      </c>
      <c r="D14" s="101" t="e">
        <f>Inputs!#REF!</f>
        <v>#REF!</v>
      </c>
      <c r="E14" s="293" t="e">
        <f>Inputs!#REF!</f>
        <v>#REF!</v>
      </c>
      <c r="F14" s="100" t="e">
        <f>IF(Inputs!#REF!&lt;(Inputs!#REF!*12),Inputs!#REF!/12,Inputs!#REF!)</f>
        <v>#REF!</v>
      </c>
      <c r="G14" s="293" t="e">
        <f>IF(Inputs!#REF!&lt;(Inputs!#REF!*12),0,(Inputs!#REF!/12)-Inputs!#REF!)</f>
        <v>#REF!</v>
      </c>
      <c r="H14" s="100" t="e">
        <f>IF(Inputs!#REF!="Plug Pile Wall","Y","N")</f>
        <v>#REF!</v>
      </c>
      <c r="I14" s="101" t="e">
        <f>IF(Inputs!#REF!="Precast Lagging",Inputs!#REF!,0)</f>
        <v>#REF!</v>
      </c>
      <c r="J14" s="101" t="e">
        <f>IF(Inputs!#REF!="Timber Lagging",Inputs!#REF!,0)</f>
        <v>#REF!</v>
      </c>
      <c r="K14" s="293" t="e">
        <f>Inputs!#REF!</f>
        <v>#REF!</v>
      </c>
      <c r="L14" s="305" t="e">
        <f>LOOKUP(C14,Lookups!AU$5:AU$18,Lookups!AY$5:AY$18)</f>
        <v>#REF!</v>
      </c>
      <c r="M14" s="303" t="e">
        <f>LOOKUP(C14,Lookups!AU$5:AU$18,Lookups!AZ$5:AZ$18)</f>
        <v>#REF!</v>
      </c>
      <c r="N14" s="303" t="e">
        <f>LOOKUP(B14,Lookups!A$5:A$265,Lookups!J$5:J$265)*1.25</f>
        <v>#REF!</v>
      </c>
      <c r="O14" s="300" t="e">
        <f>(F14*L14)+(G14*M14)+((F14+G14)*N14)+(K14*Lookups!AY$23)</f>
        <v>#REF!</v>
      </c>
      <c r="P14" s="315" t="e">
        <f>IF(H14="Y",Inputs!#REF!*L14,0)</f>
        <v>#REF!</v>
      </c>
      <c r="Q14" s="315" t="e">
        <f>(I14*Lookups!AW$23)+(J14*Lookups!AX$23)</f>
        <v>#REF!</v>
      </c>
      <c r="R14" s="315" t="e">
        <f t="shared" si="0"/>
        <v>#REF!</v>
      </c>
      <c r="S14" s="315" t="e">
        <f t="shared" si="1"/>
        <v>#REF!</v>
      </c>
    </row>
    <row r="15" spans="1:19" x14ac:dyDescent="0.2">
      <c r="A15" s="335">
        <f>Inputs!A25</f>
        <v>0</v>
      </c>
      <c r="B15" s="307">
        <f>Inputs!B25</f>
        <v>0</v>
      </c>
      <c r="C15" s="101">
        <f>Inputs!C25</f>
        <v>0</v>
      </c>
      <c r="D15" s="101">
        <f>Inputs!E25</f>
        <v>0</v>
      </c>
      <c r="E15" s="293">
        <f>Inputs!F25</f>
        <v>0</v>
      </c>
      <c r="F15" s="100">
        <f>IF(Inputs!O25&lt;(Inputs!K25*12),Inputs!O25/12,Inputs!K25)</f>
        <v>0</v>
      </c>
      <c r="G15" s="293">
        <f>IF(Inputs!O25&lt;(Inputs!K25*12),0,(Inputs!O25/12)-Inputs!K25)</f>
        <v>0</v>
      </c>
      <c r="H15" s="100" t="str">
        <f>IF(Inputs!F25="Plug Pile Wall","Y","N")</f>
        <v>N</v>
      </c>
      <c r="I15" s="101">
        <f>IF(Inputs!F25="Precast Lagging",Inputs!M25,0)</f>
        <v>0</v>
      </c>
      <c r="J15" s="101">
        <f>IF(Inputs!F25="Timber Lagging",Inputs!M25,0)</f>
        <v>0</v>
      </c>
      <c r="K15" s="293">
        <f>Inputs!G25</f>
        <v>0</v>
      </c>
      <c r="L15" s="305" t="e">
        <f>LOOKUP(C15,Lookups!AU$5:AU$18,Lookups!AY$5:AY$18)</f>
        <v>#N/A</v>
      </c>
      <c r="M15" s="303" t="e">
        <f>LOOKUP(C15,Lookups!AU$5:AU$18,Lookups!AZ$5:AZ$18)</f>
        <v>#N/A</v>
      </c>
      <c r="N15" s="303" t="e">
        <f>LOOKUP(B15,Lookups!A$5:A$265,Lookups!J$5:J$265)*1.25</f>
        <v>#N/A</v>
      </c>
      <c r="O15" s="300" t="e">
        <f>(F15*L15)+(G15*M15)+((F15+G15)*N15)+(K15*Lookups!AY$23)</f>
        <v>#N/A</v>
      </c>
      <c r="P15" s="315">
        <f>IF(H15="Y",Inputs!M25*L15,0)</f>
        <v>0</v>
      </c>
      <c r="Q15" s="315">
        <f>(I15*Lookups!AW$23)+(J15*Lookups!AX$23)</f>
        <v>0</v>
      </c>
      <c r="R15" s="315">
        <f t="shared" si="0"/>
        <v>0</v>
      </c>
      <c r="S15" s="315" t="e">
        <f t="shared" si="1"/>
        <v>#N/A</v>
      </c>
    </row>
    <row r="16" spans="1:19" x14ac:dyDescent="0.2">
      <c r="A16" s="335">
        <f>Inputs!A26</f>
        <v>0</v>
      </c>
      <c r="B16" s="307">
        <f>Inputs!B26</f>
        <v>0</v>
      </c>
      <c r="C16" s="101">
        <f>Inputs!C26</f>
        <v>0</v>
      </c>
      <c r="D16" s="101">
        <f>Inputs!E26</f>
        <v>0</v>
      </c>
      <c r="E16" s="293" t="str">
        <f>Inputs!F26</f>
        <v>FACTORED LOADING</v>
      </c>
      <c r="F16" s="100">
        <f>IF(Inputs!O26&lt;(Inputs!K26*12),Inputs!O26/12,Inputs!K26)</f>
        <v>0</v>
      </c>
      <c r="G16" s="293">
        <f>IF(Inputs!O26&lt;(Inputs!K26*12),0,(Inputs!O26/12)-Inputs!K26)</f>
        <v>0</v>
      </c>
      <c r="H16" s="100" t="str">
        <f>IF(Inputs!F26="Plug Pile Wall","Y","N")</f>
        <v>N</v>
      </c>
      <c r="I16" s="101">
        <f>IF(Inputs!F26="Precast Lagging",Inputs!M26,0)</f>
        <v>0</v>
      </c>
      <c r="J16" s="101">
        <f>IF(Inputs!F26="Timber Lagging",Inputs!M26,0)</f>
        <v>0</v>
      </c>
      <c r="K16" s="293">
        <f>Inputs!G26</f>
        <v>0</v>
      </c>
      <c r="L16" s="305" t="e">
        <f>LOOKUP(C16,Lookups!AU$5:AU$18,Lookups!AY$5:AY$18)</f>
        <v>#N/A</v>
      </c>
      <c r="M16" s="303" t="e">
        <f>LOOKUP(C16,Lookups!AU$5:AU$18,Lookups!AZ$5:AZ$18)</f>
        <v>#N/A</v>
      </c>
      <c r="N16" s="303" t="e">
        <f>LOOKUP(B16,Lookups!A$5:A$265,Lookups!J$5:J$265)*1.25</f>
        <v>#N/A</v>
      </c>
      <c r="O16" s="300" t="e">
        <f>(F16*L16)+(G16*M16)+((F16+G16)*N16)+(K16*Lookups!AY$23)</f>
        <v>#N/A</v>
      </c>
      <c r="P16" s="315">
        <f>IF(H16="Y",Inputs!M26*L16,0)</f>
        <v>0</v>
      </c>
      <c r="Q16" s="315">
        <f>(I16*Lookups!AW$23)+(J16*Lookups!AX$23)</f>
        <v>0</v>
      </c>
      <c r="R16" s="315">
        <f t="shared" si="0"/>
        <v>0</v>
      </c>
      <c r="S16" s="315" t="e">
        <f t="shared" si="1"/>
        <v>#N/A</v>
      </c>
    </row>
    <row r="17" spans="1:19" x14ac:dyDescent="0.2">
      <c r="A17" s="335">
        <f>Inputs!A27</f>
        <v>0</v>
      </c>
      <c r="B17" s="307">
        <f>Inputs!B27</f>
        <v>0</v>
      </c>
      <c r="C17" s="101">
        <f>Inputs!C27</f>
        <v>0</v>
      </c>
      <c r="D17" s="101">
        <f>Inputs!E27</f>
        <v>0</v>
      </c>
      <c r="E17" s="293" t="str">
        <f>Inputs!F27</f>
        <v>LPILE Calculated Stress/Strain</v>
      </c>
      <c r="F17" s="100">
        <f>IF(Inputs!O27&lt;(Inputs!K27*12),Inputs!O27/12,Inputs!K27)</f>
        <v>0</v>
      </c>
      <c r="G17" s="293">
        <f>IF(Inputs!O27&lt;(Inputs!K27*12),0,(Inputs!O27/12)-Inputs!K27)</f>
        <v>0</v>
      </c>
      <c r="H17" s="100" t="str">
        <f>IF(Inputs!F27="Plug Pile Wall","Y","N")</f>
        <v>N</v>
      </c>
      <c r="I17" s="101">
        <f>IF(Inputs!F27="Precast Lagging",Inputs!M27,0)</f>
        <v>0</v>
      </c>
      <c r="J17" s="101">
        <f>IF(Inputs!F27="Timber Lagging",Inputs!M27,0)</f>
        <v>0</v>
      </c>
      <c r="K17" s="293">
        <f>Inputs!G27</f>
        <v>0</v>
      </c>
      <c r="L17" s="305" t="e">
        <f>LOOKUP(C17,Lookups!AU$5:AU$18,Lookups!AY$5:AY$18)</f>
        <v>#N/A</v>
      </c>
      <c r="M17" s="303" t="e">
        <f>LOOKUP(C17,Lookups!AU$5:AU$18,Lookups!AZ$5:AZ$18)</f>
        <v>#N/A</v>
      </c>
      <c r="N17" s="303" t="e">
        <f>LOOKUP(B17,Lookups!A$5:A$265,Lookups!J$5:J$265)*1.25</f>
        <v>#N/A</v>
      </c>
      <c r="O17" s="300" t="e">
        <f>(F17*L17)+(G17*M17)+((F17+G17)*N17)+(K17*Lookups!AY$23)</f>
        <v>#N/A</v>
      </c>
      <c r="P17" s="315">
        <f>IF(H17="Y",Inputs!M27*L17,0)</f>
        <v>0</v>
      </c>
      <c r="Q17" s="315">
        <f>(I17*Lookups!AW$23)+(J17*Lookups!AX$23)</f>
        <v>0</v>
      </c>
      <c r="R17" s="315">
        <f t="shared" si="0"/>
        <v>0</v>
      </c>
      <c r="S17" s="315" t="e">
        <f t="shared" si="1"/>
        <v>#N/A</v>
      </c>
    </row>
    <row r="18" spans="1:19" x14ac:dyDescent="0.2">
      <c r="A18" s="335">
        <f>Inputs!A28</f>
        <v>0</v>
      </c>
      <c r="B18" s="307">
        <f>Inputs!B28</f>
        <v>0</v>
      </c>
      <c r="C18" s="101">
        <f>Inputs!C28</f>
        <v>0</v>
      </c>
      <c r="D18" s="101">
        <f>Inputs!E28</f>
        <v>0</v>
      </c>
      <c r="E18" s="293" t="str">
        <f>Inputs!F28</f>
        <v>Mmax</v>
      </c>
      <c r="F18" s="100" t="e">
        <f>IF(Inputs!O28&lt;(Inputs!K28*12),Inputs!O28/12,Inputs!K28)</f>
        <v>#VALUE!</v>
      </c>
      <c r="G18" s="293" t="e">
        <f>IF(Inputs!O28&lt;(Inputs!K28*12),0,(Inputs!O28/12)-Inputs!K28)</f>
        <v>#VALUE!</v>
      </c>
      <c r="H18" s="100" t="str">
        <f>IF(Inputs!F28="Plug Pile Wall","Y","N")</f>
        <v>N</v>
      </c>
      <c r="I18" s="101">
        <f>IF(Inputs!F28="Precast Lagging",Inputs!M28,0)</f>
        <v>0</v>
      </c>
      <c r="J18" s="101">
        <f>IF(Inputs!F28="Timber Lagging",Inputs!M28,0)</f>
        <v>0</v>
      </c>
      <c r="K18" s="293" t="str">
        <f>Inputs!G28</f>
        <v>Vmax</v>
      </c>
      <c r="L18" s="305" t="e">
        <f>LOOKUP(C18,Lookups!AU$5:AU$18,Lookups!AY$5:AY$18)</f>
        <v>#N/A</v>
      </c>
      <c r="M18" s="303" t="e">
        <f>LOOKUP(C18,Lookups!AU$5:AU$18,Lookups!AZ$5:AZ$18)</f>
        <v>#N/A</v>
      </c>
      <c r="N18" s="303" t="e">
        <f>LOOKUP(B18,Lookups!A$5:A$265,Lookups!J$5:J$265)*1.25</f>
        <v>#N/A</v>
      </c>
      <c r="O18" s="300" t="e">
        <f>(F18*L18)+(G18*M18)+((F18+G18)*N18)+(K18*Lookups!AY$23)</f>
        <v>#VALUE!</v>
      </c>
      <c r="P18" s="315">
        <f>IF(H18="Y",Inputs!M28*L18,0)</f>
        <v>0</v>
      </c>
      <c r="Q18" s="315">
        <f>(I18*Lookups!AW$23)+(J18*Lookups!AX$23)</f>
        <v>0</v>
      </c>
      <c r="R18" s="315">
        <f t="shared" si="0"/>
        <v>0</v>
      </c>
      <c r="S18" s="315" t="e">
        <f t="shared" si="1"/>
        <v>#VALUE!</v>
      </c>
    </row>
    <row r="19" spans="1:19" x14ac:dyDescent="0.2">
      <c r="A19" s="335">
        <f>Inputs!A29</f>
        <v>0</v>
      </c>
      <c r="B19" s="307">
        <f>Inputs!B29</f>
        <v>0</v>
      </c>
      <c r="C19" s="101">
        <f>Inputs!C29</f>
        <v>0</v>
      </c>
      <c r="D19" s="101">
        <f>Inputs!E29</f>
        <v>0</v>
      </c>
      <c r="E19" s="293" t="str">
        <f>Inputs!F29</f>
        <v>Maximum</v>
      </c>
      <c r="F19" s="100" t="e">
        <f>IF(Inputs!O29&lt;(Inputs!K29*12),Inputs!O29/12,Inputs!K29)</f>
        <v>#VALUE!</v>
      </c>
      <c r="G19" s="293" t="e">
        <f>IF(Inputs!O29&lt;(Inputs!K29*12),0,(Inputs!O29/12)-Inputs!K29)</f>
        <v>#VALUE!</v>
      </c>
      <c r="H19" s="100" t="str">
        <f>IF(Inputs!F29="Plug Pile Wall","Y","N")</f>
        <v>N</v>
      </c>
      <c r="I19" s="101">
        <f>IF(Inputs!F29="Precast Lagging",Inputs!M29,0)</f>
        <v>0</v>
      </c>
      <c r="J19" s="101">
        <f>IF(Inputs!F29="Timber Lagging",Inputs!M29,0)</f>
        <v>0</v>
      </c>
      <c r="K19" s="293" t="str">
        <f>Inputs!G29</f>
        <v>Maximum</v>
      </c>
      <c r="L19" s="305" t="e">
        <f>LOOKUP(C19,Lookups!AU$5:AU$18,Lookups!AY$5:AY$18)</f>
        <v>#N/A</v>
      </c>
      <c r="M19" s="303" t="e">
        <f>LOOKUP(C19,Lookups!AU$5:AU$18,Lookups!AZ$5:AZ$18)</f>
        <v>#N/A</v>
      </c>
      <c r="N19" s="303" t="e">
        <f>LOOKUP(B19,Lookups!A$5:A$265,Lookups!J$5:J$265)*1.25</f>
        <v>#N/A</v>
      </c>
      <c r="O19" s="300" t="e">
        <f>(F19*L19)+(G19*M19)+((F19+G19)*N19)+(K19*Lookups!AY$23)</f>
        <v>#VALUE!</v>
      </c>
      <c r="P19" s="315">
        <f>IF(H19="Y",Inputs!M29*L19,0)</f>
        <v>0</v>
      </c>
      <c r="Q19" s="315">
        <f>(I19*Lookups!AW$23)+(J19*Lookups!AX$23)</f>
        <v>0</v>
      </c>
      <c r="R19" s="315">
        <f t="shared" si="0"/>
        <v>0</v>
      </c>
      <c r="S19" s="315" t="e">
        <f t="shared" si="1"/>
        <v>#VALUE!</v>
      </c>
    </row>
    <row r="20" spans="1:19" x14ac:dyDescent="0.2">
      <c r="A20" s="335">
        <f>Inputs!A30</f>
        <v>0</v>
      </c>
      <c r="B20" s="307">
        <f>Inputs!B30</f>
        <v>0</v>
      </c>
      <c r="C20" s="101">
        <f>Inputs!C30</f>
        <v>0</v>
      </c>
      <c r="D20" s="101">
        <f>Inputs!E30</f>
        <v>0</v>
      </c>
      <c r="E20" s="293" t="str">
        <f>Inputs!F30</f>
        <v>Moment</v>
      </c>
      <c r="F20" s="100" t="e">
        <f>IF(Inputs!O30&lt;(Inputs!K30*12),Inputs!O30/12,Inputs!K30)</f>
        <v>#VALUE!</v>
      </c>
      <c r="G20" s="293" t="e">
        <f>IF(Inputs!O30&lt;(Inputs!K30*12),0,(Inputs!O30/12)-Inputs!K30)</f>
        <v>#VALUE!</v>
      </c>
      <c r="H20" s="100" t="str">
        <f>IF(Inputs!F30="Plug Pile Wall","Y","N")</f>
        <v>N</v>
      </c>
      <c r="I20" s="101">
        <f>IF(Inputs!F30="Precast Lagging",Inputs!M30,0)</f>
        <v>0</v>
      </c>
      <c r="J20" s="101">
        <f>IF(Inputs!F30="Timber Lagging",Inputs!M30,0)</f>
        <v>0</v>
      </c>
      <c r="K20" s="293" t="str">
        <f>Inputs!G30</f>
        <v>Shear</v>
      </c>
      <c r="L20" s="305" t="e">
        <f>LOOKUP(C20,Lookups!AU$5:AU$18,Lookups!AY$5:AY$18)</f>
        <v>#N/A</v>
      </c>
      <c r="M20" s="303" t="e">
        <f>LOOKUP(C20,Lookups!AU$5:AU$18,Lookups!AZ$5:AZ$18)</f>
        <v>#N/A</v>
      </c>
      <c r="N20" s="303" t="e">
        <f>LOOKUP(B20,Lookups!A$5:A$265,Lookups!J$5:J$265)*1.25</f>
        <v>#N/A</v>
      </c>
      <c r="O20" s="300" t="e">
        <f>(F20*L20)+(G20*M20)+((F20+G20)*N20)+(K20*Lookups!AY$23)</f>
        <v>#VALUE!</v>
      </c>
      <c r="P20" s="315">
        <f>IF(H20="Y",Inputs!M30*L20,0)</f>
        <v>0</v>
      </c>
      <c r="Q20" s="315">
        <f>(I20*Lookups!AW$23)+(J20*Lookups!AX$23)</f>
        <v>0</v>
      </c>
      <c r="R20" s="315">
        <f t="shared" si="0"/>
        <v>0</v>
      </c>
      <c r="S20" s="315" t="e">
        <f t="shared" si="1"/>
        <v>#VALUE!</v>
      </c>
    </row>
    <row r="21" spans="1:19" x14ac:dyDescent="0.2">
      <c r="A21" s="335">
        <f>Inputs!A31</f>
        <v>0</v>
      </c>
      <c r="B21" s="307">
        <f>Inputs!B31</f>
        <v>0</v>
      </c>
      <c r="C21" s="101">
        <f>Inputs!C31</f>
        <v>0</v>
      </c>
      <c r="D21" s="101">
        <f>Inputs!E31</f>
        <v>0</v>
      </c>
      <c r="E21" s="293" t="str">
        <f>Inputs!F31</f>
        <v>(in-lbs)</v>
      </c>
      <c r="F21" s="100" t="e">
        <f>IF(Inputs!O31&lt;(Inputs!K31*12),Inputs!O31/12,Inputs!K31)</f>
        <v>#VALUE!</v>
      </c>
      <c r="G21" s="293" t="e">
        <f>IF(Inputs!O31&lt;(Inputs!K31*12),0,(Inputs!O31/12)-Inputs!K31)</f>
        <v>#VALUE!</v>
      </c>
      <c r="H21" s="100" t="str">
        <f>IF(Inputs!F31="Plug Pile Wall","Y","N")</f>
        <v>N</v>
      </c>
      <c r="I21" s="101">
        <f>IF(Inputs!F31="Precast Lagging",Inputs!M31,0)</f>
        <v>0</v>
      </c>
      <c r="J21" s="101">
        <f>IF(Inputs!F31="Timber Lagging",Inputs!M31,0)</f>
        <v>0</v>
      </c>
      <c r="K21" s="293" t="str">
        <f>Inputs!G31</f>
        <v>(lbs)</v>
      </c>
      <c r="L21" s="305" t="e">
        <f>LOOKUP(C21,Lookups!AU$5:AU$18,Lookups!AY$5:AY$18)</f>
        <v>#N/A</v>
      </c>
      <c r="M21" s="303" t="e">
        <f>LOOKUP(C21,Lookups!AU$5:AU$18,Lookups!AZ$5:AZ$18)</f>
        <v>#N/A</v>
      </c>
      <c r="N21" s="303" t="e">
        <f>LOOKUP(B21,Lookups!A$5:A$265,Lookups!J$5:J$265)*1.25</f>
        <v>#N/A</v>
      </c>
      <c r="O21" s="300" t="e">
        <f>(F21*L21)+(G21*M21)+((F21+G21)*N21)+(K21*Lookups!AY$23)</f>
        <v>#VALUE!</v>
      </c>
      <c r="P21" s="315">
        <f>IF(H21="Y",Inputs!M31*L21,0)</f>
        <v>0</v>
      </c>
      <c r="Q21" s="315">
        <f>(I21*Lookups!AW$23)+(J21*Lookups!AX$23)</f>
        <v>0</v>
      </c>
      <c r="R21" s="315">
        <f t="shared" si="0"/>
        <v>0</v>
      </c>
      <c r="S21" s="315" t="e">
        <f t="shared" si="1"/>
        <v>#VALUE!</v>
      </c>
    </row>
    <row r="22" spans="1:19" x14ac:dyDescent="0.2">
      <c r="A22" s="335" t="str">
        <f>Inputs!A32</f>
        <v>New</v>
      </c>
      <c r="B22" s="307" t="str">
        <f>Inputs!B32</f>
        <v>HP12x 53</v>
      </c>
      <c r="C22" s="101">
        <f>Inputs!C32</f>
        <v>24</v>
      </c>
      <c r="D22" s="101">
        <f>Inputs!E32</f>
        <v>2.5</v>
      </c>
      <c r="E22" s="293">
        <f>Inputs!F32</f>
        <v>9805147</v>
      </c>
      <c r="F22" s="100" t="e">
        <f>IF(Inputs!O32&lt;(Inputs!K32*12),Inputs!O32/12,Inputs!K32)</f>
        <v>#VALUE!</v>
      </c>
      <c r="G22" s="293" t="e">
        <f>IF(Inputs!O32&lt;(Inputs!K32*12),0,(Inputs!O32/12)-Inputs!K32)</f>
        <v>#VALUE!</v>
      </c>
      <c r="H22" s="100" t="str">
        <f>IF(Inputs!F32="Plug Pile Wall","Y","N")</f>
        <v>N</v>
      </c>
      <c r="I22" s="101">
        <f>IF(Inputs!F32="Precast Lagging",Inputs!M32,0)</f>
        <v>0</v>
      </c>
      <c r="J22" s="101">
        <f>IF(Inputs!F32="Timber Lagging",Inputs!M32,0)</f>
        <v>0</v>
      </c>
      <c r="K22" s="293">
        <f>Inputs!G32</f>
        <v>536047</v>
      </c>
      <c r="L22" s="305">
        <f>LOOKUP(C22,Lookups!AU$5:AU$18,Lookups!AY$5:AY$18)</f>
        <v>27</v>
      </c>
      <c r="M22" s="303">
        <f>LOOKUP(C22,Lookups!AU$5:AU$18,Lookups!AZ$5:AZ$18)</f>
        <v>127</v>
      </c>
      <c r="N22" s="303">
        <f>LOOKUP(B22,Lookups!A$5:A$265,Lookups!J$5:J$265)*1.25</f>
        <v>66.25</v>
      </c>
      <c r="O22" s="300" t="e">
        <f>(F22*L22)+(G22*M22)+((F22+G22)*N22)+(K22*Lookups!AY$23)</f>
        <v>#VALUE!</v>
      </c>
      <c r="P22" s="315">
        <f>IF(H22="Y",Inputs!M32*L22,0)</f>
        <v>0</v>
      </c>
      <c r="Q22" s="315">
        <f>(I22*Lookups!AW$23)+(J22*Lookups!AX$23)</f>
        <v>0</v>
      </c>
      <c r="R22" s="315">
        <f t="shared" si="0"/>
        <v>0</v>
      </c>
      <c r="S22" s="315" t="e">
        <f t="shared" si="1"/>
        <v>#VALUE!</v>
      </c>
    </row>
    <row r="23" spans="1:19" x14ac:dyDescent="0.2">
      <c r="A23" s="335" t="str">
        <f>Inputs!A33</f>
        <v>New</v>
      </c>
      <c r="B23" s="307" t="str">
        <f>Inputs!B33</f>
        <v>HP12x 53</v>
      </c>
      <c r="C23" s="101">
        <f>Inputs!C33</f>
        <v>24</v>
      </c>
      <c r="D23" s="101">
        <f>Inputs!E33</f>
        <v>2</v>
      </c>
      <c r="E23" s="293">
        <f>Inputs!F33</f>
        <v>7086559</v>
      </c>
      <c r="F23" s="100" t="e">
        <f>IF(Inputs!N33&lt;(Inputs!K33*12),Inputs!N33/12,Inputs!K33)</f>
        <v>#VALUE!</v>
      </c>
      <c r="G23" s="293" t="e">
        <f>IF(Inputs!N33&lt;(Inputs!K33*12),0,(Inputs!N33/12)-Inputs!K33)</f>
        <v>#VALUE!</v>
      </c>
      <c r="H23" s="100" t="str">
        <f>IF(Inputs!F33="Plug Pile Wall","Y","N")</f>
        <v>N</v>
      </c>
      <c r="I23" s="101">
        <f>IF(Inputs!F33="Precast Lagging",Inputs!M33,0)</f>
        <v>0</v>
      </c>
      <c r="J23" s="101">
        <f>IF(Inputs!F33="Timber Lagging",Inputs!M33,0)</f>
        <v>0</v>
      </c>
      <c r="K23" s="293">
        <f>Inputs!G33</f>
        <v>398328</v>
      </c>
      <c r="L23" s="305">
        <f>LOOKUP(C23,Lookups!AU$5:AU$18,Lookups!AY$5:AY$18)</f>
        <v>27</v>
      </c>
      <c r="M23" s="303">
        <f>LOOKUP(C23,Lookups!AU$5:AU$18,Lookups!AZ$5:AZ$18)</f>
        <v>127</v>
      </c>
      <c r="N23" s="303">
        <f>LOOKUP(B23,Lookups!A$5:A$265,Lookups!J$5:J$265)*1.25</f>
        <v>66.25</v>
      </c>
      <c r="O23" s="300" t="e">
        <f>(F23*L23)+(G23*M23)+((F23+G23)*N23)+(K23*Lookups!AY$23)</f>
        <v>#VALUE!</v>
      </c>
      <c r="P23" s="315">
        <f>IF(H23="Y",Inputs!M33*L23,0)</f>
        <v>0</v>
      </c>
      <c r="Q23" s="315">
        <f>(I23*Lookups!AW$23)+(J23*Lookups!AX$23)</f>
        <v>0</v>
      </c>
      <c r="R23" s="315">
        <f t="shared" si="0"/>
        <v>0</v>
      </c>
      <c r="S23" s="315" t="e">
        <f t="shared" si="1"/>
        <v>#VALUE!</v>
      </c>
    </row>
    <row r="24" spans="1:19" x14ac:dyDescent="0.2">
      <c r="A24" s="335">
        <f>Inputs!A34</f>
        <v>0</v>
      </c>
      <c r="B24" s="307" t="str">
        <f>Inputs!B34</f>
        <v>W18x 76</v>
      </c>
      <c r="C24" s="101">
        <f>Inputs!C34</f>
        <v>24</v>
      </c>
      <c r="D24" s="101">
        <f>Inputs!E34</f>
        <v>2.5</v>
      </c>
      <c r="E24" s="293">
        <f>Inputs!F34</f>
        <v>5343504</v>
      </c>
      <c r="F24" s="100" t="e">
        <f>IF(Inputs!N34&lt;(Inputs!K34*12),Inputs!N34/12,Inputs!K34)</f>
        <v>#VALUE!</v>
      </c>
      <c r="G24" s="293" t="e">
        <f>IF(Inputs!N34&lt;(Inputs!K34*12),0,(Inputs!N34/12)-Inputs!K34)</f>
        <v>#VALUE!</v>
      </c>
      <c r="H24" s="100" t="str">
        <f>IF(Inputs!F34="Plug Pile Wall","Y","N")</f>
        <v>N</v>
      </c>
      <c r="I24" s="101">
        <f>IF(Inputs!F34="Precast Lagging",Inputs!M34,0)</f>
        <v>0</v>
      </c>
      <c r="J24" s="101">
        <f>IF(Inputs!F34="Timber Lagging",Inputs!M34,0)</f>
        <v>0</v>
      </c>
      <c r="K24" s="293">
        <f>Inputs!G34</f>
        <v>219911</v>
      </c>
      <c r="L24" s="305">
        <f>LOOKUP(C24,Lookups!AU$5:AU$18,Lookups!AY$5:AY$18)</f>
        <v>27</v>
      </c>
      <c r="M24" s="303">
        <f>LOOKUP(C24,Lookups!AU$5:AU$18,Lookups!AZ$5:AZ$18)</f>
        <v>127</v>
      </c>
      <c r="N24" s="303">
        <f>LOOKUP(B24,Lookups!A$5:A$265,Lookups!J$5:J$265)*1.25</f>
        <v>95</v>
      </c>
      <c r="O24" s="300" t="e">
        <f>(F24*L24)+(G24*M24)+((F24+G24)*N24)+(K24*Lookups!AY$23)</f>
        <v>#VALUE!</v>
      </c>
      <c r="P24" s="315">
        <f>IF(H24="Y",Inputs!M34*L24,0)</f>
        <v>0</v>
      </c>
      <c r="Q24" s="315">
        <f>(I24*Lookups!AW$23)+(J24*Lookups!AX$23)</f>
        <v>0</v>
      </c>
      <c r="R24" s="315">
        <f t="shared" si="0"/>
        <v>0</v>
      </c>
      <c r="S24" s="315" t="e">
        <f t="shared" si="1"/>
        <v>#VALUE!</v>
      </c>
    </row>
    <row r="25" spans="1:19" x14ac:dyDescent="0.2">
      <c r="A25" s="335" t="str">
        <f>Inputs!A35</f>
        <v xml:space="preserve"> </v>
      </c>
      <c r="B25" s="307" t="str">
        <f>Inputs!B35</f>
        <v xml:space="preserve"> </v>
      </c>
      <c r="C25" s="101" t="str">
        <f>Inputs!C35</f>
        <v xml:space="preserve"> </v>
      </c>
      <c r="D25" s="101" t="str">
        <f>Inputs!E35</f>
        <v xml:space="preserve"> </v>
      </c>
      <c r="E25" s="293">
        <f>Inputs!F35</f>
        <v>0</v>
      </c>
      <c r="F25" s="100">
        <f>IF(Inputs!N35&lt;(Inputs!K35*12),Inputs!N35/12,Inputs!K35)</f>
        <v>0</v>
      </c>
      <c r="G25" s="293">
        <f>IF(Inputs!N35&lt;(Inputs!K35*12),0,(Inputs!N35/12)-Inputs!K35)</f>
        <v>0</v>
      </c>
      <c r="H25" s="100" t="str">
        <f>IF(Inputs!F35="Plug Pile Wall","Y","N")</f>
        <v>N</v>
      </c>
      <c r="I25" s="101">
        <f>IF(Inputs!F35="Precast Lagging",Inputs!M35,0)</f>
        <v>0</v>
      </c>
      <c r="J25" s="101">
        <f>IF(Inputs!F35="Timber Lagging",Inputs!M35,0)</f>
        <v>0</v>
      </c>
      <c r="K25" s="293">
        <f>Inputs!G35</f>
        <v>0</v>
      </c>
      <c r="L25" s="305" t="e">
        <f>LOOKUP(C25,Lookups!AU$5:AU$18,Lookups!AY$5:AY$18)</f>
        <v>#N/A</v>
      </c>
      <c r="M25" s="303" t="e">
        <f>LOOKUP(C25,Lookups!AU$5:AU$18,Lookups!AZ$5:AZ$18)</f>
        <v>#N/A</v>
      </c>
      <c r="N25" s="303" t="e">
        <f>LOOKUP(B25,Lookups!A$5:A$265,Lookups!J$5:J$265)*1.25</f>
        <v>#N/A</v>
      </c>
      <c r="O25" s="300" t="e">
        <f>(F25*L25)+(G25*M25)+((F25+G25)*N25)+(K25*Lookups!AY$23)</f>
        <v>#N/A</v>
      </c>
      <c r="P25" s="315">
        <f>IF(H25="Y",Inputs!M35*L25,0)</f>
        <v>0</v>
      </c>
      <c r="Q25" s="315">
        <f>(I25*Lookups!AW$23)+(J25*Lookups!AX$23)</f>
        <v>0</v>
      </c>
      <c r="R25" s="315">
        <f t="shared" si="0"/>
        <v>0</v>
      </c>
      <c r="S25" s="315" t="e">
        <f t="shared" si="1"/>
        <v>#N/A</v>
      </c>
    </row>
    <row r="26" spans="1:19" x14ac:dyDescent="0.2">
      <c r="A26" s="335" t="e">
        <f>Inputs!#REF!</f>
        <v>#REF!</v>
      </c>
      <c r="B26" s="307" t="e">
        <f>Inputs!#REF!</f>
        <v>#REF!</v>
      </c>
      <c r="C26" s="101" t="e">
        <f>Inputs!#REF!</f>
        <v>#REF!</v>
      </c>
      <c r="D26" s="101" t="e">
        <f>Inputs!#REF!</f>
        <v>#REF!</v>
      </c>
      <c r="E26" s="293" t="e">
        <f>Inputs!#REF!</f>
        <v>#REF!</v>
      </c>
      <c r="F26" s="100" t="e">
        <f>IF(Inputs!#REF!&lt;(Inputs!#REF!*12),Inputs!#REF!/12,Inputs!#REF!)</f>
        <v>#REF!</v>
      </c>
      <c r="G26" s="293" t="e">
        <f>IF(Inputs!#REF!&lt;(Inputs!#REF!*12),0,(Inputs!#REF!/12)-Inputs!#REF!)</f>
        <v>#REF!</v>
      </c>
      <c r="H26" s="100" t="e">
        <f>IF(Inputs!#REF!="Plug Pile Wall","Y","N")</f>
        <v>#REF!</v>
      </c>
      <c r="I26" s="101" t="e">
        <f>IF(Inputs!#REF!="Precast Lagging",Inputs!#REF!,0)</f>
        <v>#REF!</v>
      </c>
      <c r="J26" s="101" t="e">
        <f>IF(Inputs!#REF!="Timber Lagging",Inputs!#REF!,0)</f>
        <v>#REF!</v>
      </c>
      <c r="K26" s="293" t="e">
        <f>Inputs!#REF!</f>
        <v>#REF!</v>
      </c>
      <c r="L26" s="305" t="e">
        <f>LOOKUP(C26,Lookups!AU$5:AU$18,Lookups!AY$5:AY$18)</f>
        <v>#REF!</v>
      </c>
      <c r="M26" s="303" t="e">
        <f>LOOKUP(C26,Lookups!AU$5:AU$18,Lookups!AZ$5:AZ$18)</f>
        <v>#REF!</v>
      </c>
      <c r="N26" s="303" t="e">
        <f>LOOKUP(B26,Lookups!A$5:A$265,Lookups!J$5:J$265)*1.25</f>
        <v>#REF!</v>
      </c>
      <c r="O26" s="300" t="e">
        <f>(F26*L26)+(G26*M26)+((F26+G26)*N26)+(K26*Lookups!AY$23)</f>
        <v>#REF!</v>
      </c>
      <c r="P26" s="315" t="e">
        <f>IF(H26="Y",Inputs!#REF!*L26,0)</f>
        <v>#REF!</v>
      </c>
      <c r="Q26" s="315" t="e">
        <f>(I26*Lookups!AW$23)+(J26*Lookups!AX$23)</f>
        <v>#REF!</v>
      </c>
      <c r="R26" s="315" t="e">
        <f t="shared" si="0"/>
        <v>#REF!</v>
      </c>
      <c r="S26" s="315" t="e">
        <f t="shared" si="1"/>
        <v>#REF!</v>
      </c>
    </row>
    <row r="27" spans="1:19" x14ac:dyDescent="0.2">
      <c r="A27" s="335" t="e">
        <f>Inputs!#REF!</f>
        <v>#REF!</v>
      </c>
      <c r="B27" s="307" t="e">
        <f>Inputs!#REF!</f>
        <v>#REF!</v>
      </c>
      <c r="C27" s="101" t="e">
        <f>Inputs!#REF!</f>
        <v>#REF!</v>
      </c>
      <c r="D27" s="101" t="e">
        <f>Inputs!#REF!</f>
        <v>#REF!</v>
      </c>
      <c r="E27" s="293" t="e">
        <f>Inputs!#REF!</f>
        <v>#REF!</v>
      </c>
      <c r="F27" s="100" t="e">
        <f>IF(Inputs!#REF!&lt;(Inputs!#REF!*12),Inputs!#REF!/12,Inputs!#REF!)</f>
        <v>#REF!</v>
      </c>
      <c r="G27" s="293" t="e">
        <f>IF(Inputs!#REF!&lt;(Inputs!#REF!*12),0,(Inputs!#REF!/12)-Inputs!#REF!)</f>
        <v>#REF!</v>
      </c>
      <c r="H27" s="100" t="e">
        <f>IF(Inputs!#REF!="Plug Pile Wall","Y","N")</f>
        <v>#REF!</v>
      </c>
      <c r="I27" s="101" t="e">
        <f>IF(Inputs!#REF!="Precast Lagging",Inputs!#REF!,0)</f>
        <v>#REF!</v>
      </c>
      <c r="J27" s="101" t="e">
        <f>IF(Inputs!#REF!="Timber Lagging",Inputs!#REF!,0)</f>
        <v>#REF!</v>
      </c>
      <c r="K27" s="293" t="e">
        <f>Inputs!#REF!</f>
        <v>#REF!</v>
      </c>
      <c r="L27" s="305" t="e">
        <f>LOOKUP(C27,Lookups!AU$5:AU$18,Lookups!AY$5:AY$18)</f>
        <v>#REF!</v>
      </c>
      <c r="M27" s="303" t="e">
        <f>LOOKUP(C27,Lookups!AU$5:AU$18,Lookups!AZ$5:AZ$18)</f>
        <v>#REF!</v>
      </c>
      <c r="N27" s="303" t="e">
        <f>LOOKUP(B27,Lookups!A$5:A$265,Lookups!J$5:J$265)*1.25</f>
        <v>#REF!</v>
      </c>
      <c r="O27" s="300" t="e">
        <f>(F27*L27)+(G27*M27)+((F27+G27)*N27)+(K27*Lookups!AY$23)</f>
        <v>#REF!</v>
      </c>
      <c r="P27" s="315" t="e">
        <f>IF(H27="Y",Inputs!#REF!*L27,0)</f>
        <v>#REF!</v>
      </c>
      <c r="Q27" s="315" t="e">
        <f>(I27*Lookups!AW$23)+(J27*Lookups!AX$23)</f>
        <v>#REF!</v>
      </c>
      <c r="R27" s="315" t="e">
        <f t="shared" ref="R27:R88" si="2">IF(I27&gt;0,(1*(8*I27+I27^2/2))/(27/1)*(12/1),IF(J27&gt;0,(1*(8*J27+J27^2/2))/(27/1)*(12/1),0))</f>
        <v>#REF!</v>
      </c>
      <c r="S27" s="315" t="e">
        <f t="shared" ref="S27:S88" si="3">(O27+P27)/((C27/12)*D27)+Q27</f>
        <v>#REF!</v>
      </c>
    </row>
    <row r="28" spans="1:19" x14ac:dyDescent="0.2">
      <c r="A28" s="335" t="e">
        <f>Inputs!#REF!</f>
        <v>#REF!</v>
      </c>
      <c r="B28" s="307" t="e">
        <f>Inputs!#REF!</f>
        <v>#REF!</v>
      </c>
      <c r="C28" s="101" t="e">
        <f>Inputs!#REF!</f>
        <v>#REF!</v>
      </c>
      <c r="D28" s="101" t="e">
        <f>Inputs!#REF!</f>
        <v>#REF!</v>
      </c>
      <c r="E28" s="293" t="e">
        <f>Inputs!#REF!</f>
        <v>#REF!</v>
      </c>
      <c r="F28" s="100" t="e">
        <f>IF(Inputs!#REF!&lt;(Inputs!#REF!*12),Inputs!#REF!/12,Inputs!#REF!)</f>
        <v>#REF!</v>
      </c>
      <c r="G28" s="293" t="e">
        <f>IF(Inputs!#REF!&lt;(Inputs!#REF!*12),0,(Inputs!#REF!/12)-Inputs!#REF!)</f>
        <v>#REF!</v>
      </c>
      <c r="H28" s="100" t="e">
        <f>IF(Inputs!#REF!="Plug Pile Wall","Y","N")</f>
        <v>#REF!</v>
      </c>
      <c r="I28" s="101" t="e">
        <f>IF(Inputs!#REF!="Precast Lagging",Inputs!#REF!,0)</f>
        <v>#REF!</v>
      </c>
      <c r="J28" s="101" t="e">
        <f>IF(Inputs!#REF!="Timber Lagging",Inputs!#REF!,0)</f>
        <v>#REF!</v>
      </c>
      <c r="K28" s="293" t="e">
        <f>Inputs!#REF!</f>
        <v>#REF!</v>
      </c>
      <c r="L28" s="305" t="e">
        <f>LOOKUP(C28,Lookups!AU$5:AU$18,Lookups!AY$5:AY$18)</f>
        <v>#REF!</v>
      </c>
      <c r="M28" s="303" t="e">
        <f>LOOKUP(C28,Lookups!AU$5:AU$18,Lookups!AZ$5:AZ$18)</f>
        <v>#REF!</v>
      </c>
      <c r="N28" s="303" t="e">
        <f>LOOKUP(B28,Lookups!A$5:A$265,Lookups!J$5:J$265)*1.25</f>
        <v>#REF!</v>
      </c>
      <c r="O28" s="300" t="e">
        <f>(F28*L28)+(G28*M28)+((F28+G28)*N28)+(K28*Lookups!AY$23)</f>
        <v>#REF!</v>
      </c>
      <c r="P28" s="315" t="e">
        <f>IF(H28="Y",Inputs!#REF!*L28,0)</f>
        <v>#REF!</v>
      </c>
      <c r="Q28" s="315" t="e">
        <f>(I28*Lookups!AW$23)+(J28*Lookups!AX$23)</f>
        <v>#REF!</v>
      </c>
      <c r="R28" s="315" t="e">
        <f t="shared" si="2"/>
        <v>#REF!</v>
      </c>
      <c r="S28" s="315" t="e">
        <f t="shared" si="3"/>
        <v>#REF!</v>
      </c>
    </row>
    <row r="29" spans="1:19" x14ac:dyDescent="0.2">
      <c r="A29" s="335" t="e">
        <f>Inputs!#REF!</f>
        <v>#REF!</v>
      </c>
      <c r="B29" s="307" t="e">
        <f>Inputs!#REF!</f>
        <v>#REF!</v>
      </c>
      <c r="C29" s="101" t="e">
        <f>Inputs!#REF!</f>
        <v>#REF!</v>
      </c>
      <c r="D29" s="101" t="e">
        <f>Inputs!#REF!</f>
        <v>#REF!</v>
      </c>
      <c r="E29" s="293" t="e">
        <f>Inputs!#REF!</f>
        <v>#REF!</v>
      </c>
      <c r="F29" s="100" t="e">
        <f>IF(Inputs!#REF!&lt;(Inputs!#REF!*12),Inputs!#REF!/12,Inputs!#REF!)</f>
        <v>#REF!</v>
      </c>
      <c r="G29" s="293" t="e">
        <f>IF(Inputs!#REF!&lt;(Inputs!#REF!*12),0,(Inputs!#REF!/12)-Inputs!#REF!)</f>
        <v>#REF!</v>
      </c>
      <c r="H29" s="100" t="e">
        <f>IF(Inputs!#REF!="Plug Pile Wall","Y","N")</f>
        <v>#REF!</v>
      </c>
      <c r="I29" s="101" t="e">
        <f>IF(Inputs!#REF!="Precast Lagging",Inputs!#REF!,0)</f>
        <v>#REF!</v>
      </c>
      <c r="J29" s="101" t="e">
        <f>IF(Inputs!#REF!="Timber Lagging",Inputs!#REF!,0)</f>
        <v>#REF!</v>
      </c>
      <c r="K29" s="293" t="e">
        <f>Inputs!#REF!</f>
        <v>#REF!</v>
      </c>
      <c r="L29" s="305" t="e">
        <f>LOOKUP(C29,Lookups!AU$5:AU$18,Lookups!AY$5:AY$18)</f>
        <v>#REF!</v>
      </c>
      <c r="M29" s="303" t="e">
        <f>LOOKUP(C29,Lookups!AU$5:AU$18,Lookups!AZ$5:AZ$18)</f>
        <v>#REF!</v>
      </c>
      <c r="N29" s="303" t="e">
        <f>LOOKUP(B29,Lookups!A$5:A$265,Lookups!J$5:J$265)*1.25</f>
        <v>#REF!</v>
      </c>
      <c r="O29" s="300" t="e">
        <f>(F29*L29)+(G29*M29)+((F29+G29)*N29)+(K29*Lookups!AY$23)</f>
        <v>#REF!</v>
      </c>
      <c r="P29" s="315" t="e">
        <f>IF(H29="Y",Inputs!#REF!*L29,0)</f>
        <v>#REF!</v>
      </c>
      <c r="Q29" s="315" t="e">
        <f>(I29*Lookups!AW$23)+(J29*Lookups!AX$23)</f>
        <v>#REF!</v>
      </c>
      <c r="R29" s="315" t="e">
        <f t="shared" si="2"/>
        <v>#REF!</v>
      </c>
      <c r="S29" s="315" t="e">
        <f t="shared" si="3"/>
        <v>#REF!</v>
      </c>
    </row>
    <row r="30" spans="1:19" x14ac:dyDescent="0.2">
      <c r="A30" s="335" t="e">
        <f>Inputs!#REF!</f>
        <v>#REF!</v>
      </c>
      <c r="B30" s="307" t="e">
        <f>Inputs!#REF!</f>
        <v>#REF!</v>
      </c>
      <c r="C30" s="101" t="e">
        <f>Inputs!#REF!</f>
        <v>#REF!</v>
      </c>
      <c r="D30" s="101" t="e">
        <f>Inputs!#REF!</f>
        <v>#REF!</v>
      </c>
      <c r="E30" s="293" t="e">
        <f>Inputs!#REF!</f>
        <v>#REF!</v>
      </c>
      <c r="F30" s="100" t="e">
        <f>IF(Inputs!#REF!&lt;(Inputs!#REF!*12),Inputs!#REF!/12,Inputs!#REF!)</f>
        <v>#REF!</v>
      </c>
      <c r="G30" s="293" t="e">
        <f>IF(Inputs!#REF!&lt;(Inputs!#REF!*12),0,(Inputs!#REF!/12)-Inputs!#REF!)</f>
        <v>#REF!</v>
      </c>
      <c r="H30" s="100" t="e">
        <f>IF(Inputs!#REF!="Plug Pile Wall","Y","N")</f>
        <v>#REF!</v>
      </c>
      <c r="I30" s="101" t="e">
        <f>IF(Inputs!#REF!="Precast Lagging",Inputs!#REF!,0)</f>
        <v>#REF!</v>
      </c>
      <c r="J30" s="101" t="e">
        <f>IF(Inputs!#REF!="Timber Lagging",Inputs!#REF!,0)</f>
        <v>#REF!</v>
      </c>
      <c r="K30" s="293" t="e">
        <f>Inputs!#REF!</f>
        <v>#REF!</v>
      </c>
      <c r="L30" s="305" t="e">
        <f>LOOKUP(C30,Lookups!AU$5:AU$18,Lookups!AY$5:AY$18)</f>
        <v>#REF!</v>
      </c>
      <c r="M30" s="303" t="e">
        <f>LOOKUP(C30,Lookups!AU$5:AU$18,Lookups!AZ$5:AZ$18)</f>
        <v>#REF!</v>
      </c>
      <c r="N30" s="303" t="e">
        <f>LOOKUP(B30,Lookups!A$5:A$265,Lookups!J$5:J$265)*1.25</f>
        <v>#REF!</v>
      </c>
      <c r="O30" s="300" t="e">
        <f>(F30*L30)+(G30*M30)+((F30+G30)*N30)+(K30*Lookups!AY$23)</f>
        <v>#REF!</v>
      </c>
      <c r="P30" s="315" t="e">
        <f>IF(H30="Y",Inputs!#REF!*L30,0)</f>
        <v>#REF!</v>
      </c>
      <c r="Q30" s="315" t="e">
        <f>(I30*Lookups!AW$23)+(J30*Lookups!AX$23)</f>
        <v>#REF!</v>
      </c>
      <c r="R30" s="315" t="e">
        <f t="shared" si="2"/>
        <v>#REF!</v>
      </c>
      <c r="S30" s="315" t="e">
        <f t="shared" si="3"/>
        <v>#REF!</v>
      </c>
    </row>
    <row r="31" spans="1:19" x14ac:dyDescent="0.2">
      <c r="A31" s="335" t="e">
        <f>Inputs!#REF!</f>
        <v>#REF!</v>
      </c>
      <c r="B31" s="307" t="e">
        <f>Inputs!#REF!</f>
        <v>#REF!</v>
      </c>
      <c r="C31" s="101" t="e">
        <f>Inputs!#REF!</f>
        <v>#REF!</v>
      </c>
      <c r="D31" s="101" t="e">
        <f>Inputs!#REF!</f>
        <v>#REF!</v>
      </c>
      <c r="E31" s="293" t="e">
        <f>Inputs!#REF!</f>
        <v>#REF!</v>
      </c>
      <c r="F31" s="100" t="e">
        <f>IF(Inputs!#REF!&lt;(Inputs!#REF!*12),Inputs!#REF!/12,Inputs!#REF!)</f>
        <v>#REF!</v>
      </c>
      <c r="G31" s="293" t="e">
        <f>IF(Inputs!#REF!&lt;(Inputs!#REF!*12),0,(Inputs!#REF!/12)-Inputs!#REF!)</f>
        <v>#REF!</v>
      </c>
      <c r="H31" s="100" t="e">
        <f>IF(Inputs!#REF!="Plug Pile Wall","Y","N")</f>
        <v>#REF!</v>
      </c>
      <c r="I31" s="101" t="e">
        <f>IF(Inputs!#REF!="Precast Lagging",Inputs!#REF!,0)</f>
        <v>#REF!</v>
      </c>
      <c r="J31" s="101" t="e">
        <f>IF(Inputs!#REF!="Timber Lagging",Inputs!#REF!,0)</f>
        <v>#REF!</v>
      </c>
      <c r="K31" s="293" t="e">
        <f>Inputs!#REF!</f>
        <v>#REF!</v>
      </c>
      <c r="L31" s="305" t="e">
        <f>LOOKUP(C31,Lookups!AU$5:AU$18,Lookups!AY$5:AY$18)</f>
        <v>#REF!</v>
      </c>
      <c r="M31" s="303" t="e">
        <f>LOOKUP(C31,Lookups!AU$5:AU$18,Lookups!AZ$5:AZ$18)</f>
        <v>#REF!</v>
      </c>
      <c r="N31" s="303" t="e">
        <f>LOOKUP(B31,Lookups!A$5:A$265,Lookups!J$5:J$265)*1.25</f>
        <v>#REF!</v>
      </c>
      <c r="O31" s="300" t="e">
        <f>(F31*L31)+(G31*M31)+((F31+G31)*N31)+(K31*Lookups!AY$23)</f>
        <v>#REF!</v>
      </c>
      <c r="P31" s="315" t="e">
        <f>IF(H31="Y",Inputs!#REF!*L31,0)</f>
        <v>#REF!</v>
      </c>
      <c r="Q31" s="315" t="e">
        <f>(I31*Lookups!AW$23)+(J31*Lookups!AX$23)</f>
        <v>#REF!</v>
      </c>
      <c r="R31" s="315" t="e">
        <f t="shared" si="2"/>
        <v>#REF!</v>
      </c>
      <c r="S31" s="315" t="e">
        <f t="shared" si="3"/>
        <v>#REF!</v>
      </c>
    </row>
    <row r="32" spans="1:19" x14ac:dyDescent="0.2">
      <c r="A32" s="335" t="e">
        <f>Inputs!#REF!</f>
        <v>#REF!</v>
      </c>
      <c r="B32" s="307" t="e">
        <f>Inputs!#REF!</f>
        <v>#REF!</v>
      </c>
      <c r="C32" s="101" t="e">
        <f>Inputs!#REF!</f>
        <v>#REF!</v>
      </c>
      <c r="D32" s="101" t="e">
        <f>Inputs!#REF!</f>
        <v>#REF!</v>
      </c>
      <c r="E32" s="293" t="e">
        <f>Inputs!#REF!</f>
        <v>#REF!</v>
      </c>
      <c r="F32" s="100" t="e">
        <f>IF(Inputs!#REF!&lt;(Inputs!#REF!*12),Inputs!#REF!/12,Inputs!#REF!)</f>
        <v>#REF!</v>
      </c>
      <c r="G32" s="293" t="e">
        <f>IF(Inputs!#REF!&lt;(Inputs!#REF!*12),0,(Inputs!#REF!/12)-Inputs!#REF!)</f>
        <v>#REF!</v>
      </c>
      <c r="H32" s="100" t="e">
        <f>IF(Inputs!#REF!="Plug Pile Wall","Y","N")</f>
        <v>#REF!</v>
      </c>
      <c r="I32" s="101" t="e">
        <f>IF(Inputs!#REF!="Precast Lagging",Inputs!#REF!,0)</f>
        <v>#REF!</v>
      </c>
      <c r="J32" s="101" t="e">
        <f>IF(Inputs!#REF!="Timber Lagging",Inputs!#REF!,0)</f>
        <v>#REF!</v>
      </c>
      <c r="K32" s="293" t="e">
        <f>Inputs!#REF!</f>
        <v>#REF!</v>
      </c>
      <c r="L32" s="305" t="e">
        <f>LOOKUP(C32,Lookups!AU$5:AU$18,Lookups!AY$5:AY$18)</f>
        <v>#REF!</v>
      </c>
      <c r="M32" s="303" t="e">
        <f>LOOKUP(C32,Lookups!AU$5:AU$18,Lookups!AZ$5:AZ$18)</f>
        <v>#REF!</v>
      </c>
      <c r="N32" s="303" t="e">
        <f>LOOKUP(B32,Lookups!A$5:A$265,Lookups!J$5:J$265)*1.25</f>
        <v>#REF!</v>
      </c>
      <c r="O32" s="300" t="e">
        <f>(F32*L32)+(G32*M32)+((F32+G32)*N32)+(K32*Lookups!AY$23)</f>
        <v>#REF!</v>
      </c>
      <c r="P32" s="315" t="e">
        <f>IF(H32="Y",Inputs!#REF!*L32,0)</f>
        <v>#REF!</v>
      </c>
      <c r="Q32" s="315" t="e">
        <f>(I32*Lookups!AW$23)+(J32*Lookups!AX$23)</f>
        <v>#REF!</v>
      </c>
      <c r="R32" s="315" t="e">
        <f t="shared" si="2"/>
        <v>#REF!</v>
      </c>
      <c r="S32" s="315" t="e">
        <f t="shared" si="3"/>
        <v>#REF!</v>
      </c>
    </row>
    <row r="33" spans="1:19" x14ac:dyDescent="0.2">
      <c r="A33" s="335" t="e">
        <f>Inputs!#REF!</f>
        <v>#REF!</v>
      </c>
      <c r="B33" s="307" t="e">
        <f>Inputs!#REF!</f>
        <v>#REF!</v>
      </c>
      <c r="C33" s="101" t="e">
        <f>Inputs!#REF!</f>
        <v>#REF!</v>
      </c>
      <c r="D33" s="101" t="e">
        <f>Inputs!#REF!</f>
        <v>#REF!</v>
      </c>
      <c r="E33" s="293" t="e">
        <f>Inputs!#REF!</f>
        <v>#REF!</v>
      </c>
      <c r="F33" s="100" t="e">
        <f>IF(Inputs!#REF!&lt;(Inputs!#REF!*12),Inputs!#REF!/12,Inputs!#REF!)</f>
        <v>#REF!</v>
      </c>
      <c r="G33" s="293" t="e">
        <f>IF(Inputs!#REF!&lt;(Inputs!#REF!*12),0,(Inputs!#REF!/12)-Inputs!#REF!)</f>
        <v>#REF!</v>
      </c>
      <c r="H33" s="100" t="e">
        <f>IF(Inputs!#REF!="Plug Pile Wall","Y","N")</f>
        <v>#REF!</v>
      </c>
      <c r="I33" s="101" t="e">
        <f>IF(Inputs!#REF!="Precast Lagging",Inputs!#REF!,0)</f>
        <v>#REF!</v>
      </c>
      <c r="J33" s="101" t="e">
        <f>IF(Inputs!#REF!="Timber Lagging",Inputs!#REF!,0)</f>
        <v>#REF!</v>
      </c>
      <c r="K33" s="293" t="e">
        <f>Inputs!#REF!</f>
        <v>#REF!</v>
      </c>
      <c r="L33" s="305" t="e">
        <f>LOOKUP(C33,Lookups!AU$5:AU$18,Lookups!AY$5:AY$18)</f>
        <v>#REF!</v>
      </c>
      <c r="M33" s="303" t="e">
        <f>LOOKUP(C33,Lookups!AU$5:AU$18,Lookups!AZ$5:AZ$18)</f>
        <v>#REF!</v>
      </c>
      <c r="N33" s="303" t="e">
        <f>LOOKUP(B33,Lookups!A$5:A$265,Lookups!J$5:J$265)*1.25</f>
        <v>#REF!</v>
      </c>
      <c r="O33" s="300" t="e">
        <f>(F33*L33)+(G33*M33)+((F33+G33)*N33)+(K33*Lookups!AY$23)</f>
        <v>#REF!</v>
      </c>
      <c r="P33" s="315" t="e">
        <f>IF(H33="Y",Inputs!#REF!*L33,0)</f>
        <v>#REF!</v>
      </c>
      <c r="Q33" s="315" t="e">
        <f>(I33*Lookups!AW$23)+(J33*Lookups!AX$23)</f>
        <v>#REF!</v>
      </c>
      <c r="R33" s="315" t="e">
        <f t="shared" si="2"/>
        <v>#REF!</v>
      </c>
      <c r="S33" s="315" t="e">
        <f t="shared" si="3"/>
        <v>#REF!</v>
      </c>
    </row>
    <row r="34" spans="1:19" x14ac:dyDescent="0.2">
      <c r="A34" s="335" t="e">
        <f>Inputs!#REF!</f>
        <v>#REF!</v>
      </c>
      <c r="B34" s="307" t="e">
        <f>Inputs!#REF!</f>
        <v>#REF!</v>
      </c>
      <c r="C34" s="101" t="e">
        <f>Inputs!#REF!</f>
        <v>#REF!</v>
      </c>
      <c r="D34" s="101" t="e">
        <f>Inputs!#REF!</f>
        <v>#REF!</v>
      </c>
      <c r="E34" s="293" t="e">
        <f>Inputs!#REF!</f>
        <v>#REF!</v>
      </c>
      <c r="F34" s="100" t="e">
        <f>IF(Inputs!#REF!&lt;(Inputs!#REF!*12),Inputs!#REF!/12,Inputs!#REF!)</f>
        <v>#REF!</v>
      </c>
      <c r="G34" s="293" t="e">
        <f>IF(Inputs!#REF!&lt;(Inputs!#REF!*12),0,(Inputs!#REF!/12)-Inputs!#REF!)</f>
        <v>#REF!</v>
      </c>
      <c r="H34" s="100" t="e">
        <f>IF(Inputs!#REF!="Plug Pile Wall","Y","N")</f>
        <v>#REF!</v>
      </c>
      <c r="I34" s="101" t="e">
        <f>IF(Inputs!#REF!="Precast Lagging",Inputs!#REF!,0)</f>
        <v>#REF!</v>
      </c>
      <c r="J34" s="101" t="e">
        <f>IF(Inputs!#REF!="Timber Lagging",Inputs!#REF!,0)</f>
        <v>#REF!</v>
      </c>
      <c r="K34" s="293" t="e">
        <f>Inputs!#REF!</f>
        <v>#REF!</v>
      </c>
      <c r="L34" s="305" t="e">
        <f>LOOKUP(C34,Lookups!AU$5:AU$18,Lookups!AY$5:AY$18)</f>
        <v>#REF!</v>
      </c>
      <c r="M34" s="303" t="e">
        <f>LOOKUP(C34,Lookups!AU$5:AU$18,Lookups!AZ$5:AZ$18)</f>
        <v>#REF!</v>
      </c>
      <c r="N34" s="303" t="e">
        <f>LOOKUP(B34,Lookups!A$5:A$265,Lookups!J$5:J$265)*1.25</f>
        <v>#REF!</v>
      </c>
      <c r="O34" s="300" t="e">
        <f>(F34*L34)+(G34*M34)+((F34+G34)*N34)+(K34*Lookups!AY$23)</f>
        <v>#REF!</v>
      </c>
      <c r="P34" s="315" t="e">
        <f>IF(H34="Y",Inputs!#REF!*L34,0)</f>
        <v>#REF!</v>
      </c>
      <c r="Q34" s="315" t="e">
        <f>(I34*Lookups!AW$23)+(J34*Lookups!AX$23)</f>
        <v>#REF!</v>
      </c>
      <c r="R34" s="315" t="e">
        <f t="shared" si="2"/>
        <v>#REF!</v>
      </c>
      <c r="S34" s="315" t="e">
        <f t="shared" si="3"/>
        <v>#REF!</v>
      </c>
    </row>
    <row r="35" spans="1:19" x14ac:dyDescent="0.2">
      <c r="A35" s="335" t="e">
        <f>Inputs!#REF!</f>
        <v>#REF!</v>
      </c>
      <c r="B35" s="307" t="e">
        <f>Inputs!#REF!</f>
        <v>#REF!</v>
      </c>
      <c r="C35" s="101" t="e">
        <f>Inputs!#REF!</f>
        <v>#REF!</v>
      </c>
      <c r="D35" s="101" t="e">
        <f>Inputs!#REF!</f>
        <v>#REF!</v>
      </c>
      <c r="E35" s="293" t="e">
        <f>Inputs!#REF!</f>
        <v>#REF!</v>
      </c>
      <c r="F35" s="100" t="e">
        <f>IF(Inputs!#REF!&lt;(Inputs!#REF!*12),Inputs!#REF!/12,Inputs!#REF!)</f>
        <v>#REF!</v>
      </c>
      <c r="G35" s="293" t="e">
        <f>IF(Inputs!#REF!&lt;(Inputs!#REF!*12),0,(Inputs!#REF!/12)-Inputs!#REF!)</f>
        <v>#REF!</v>
      </c>
      <c r="H35" s="100" t="e">
        <f>IF(Inputs!#REF!="Plug Pile Wall","Y","N")</f>
        <v>#REF!</v>
      </c>
      <c r="I35" s="101" t="e">
        <f>IF(Inputs!#REF!="Precast Lagging",Inputs!#REF!,0)</f>
        <v>#REF!</v>
      </c>
      <c r="J35" s="101" t="e">
        <f>IF(Inputs!#REF!="Timber Lagging",Inputs!#REF!,0)</f>
        <v>#REF!</v>
      </c>
      <c r="K35" s="293" t="e">
        <f>Inputs!#REF!</f>
        <v>#REF!</v>
      </c>
      <c r="L35" s="305" t="e">
        <f>LOOKUP(C35,Lookups!AU$5:AU$18,Lookups!AY$5:AY$18)</f>
        <v>#REF!</v>
      </c>
      <c r="M35" s="303" t="e">
        <f>LOOKUP(C35,Lookups!AU$5:AU$18,Lookups!AZ$5:AZ$18)</f>
        <v>#REF!</v>
      </c>
      <c r="N35" s="303" t="e">
        <f>LOOKUP(B35,Lookups!A$5:A$265,Lookups!J$5:J$265)*1.25</f>
        <v>#REF!</v>
      </c>
      <c r="O35" s="300" t="e">
        <f>(F35*L35)+(G35*M35)+((F35+G35)*N35)+(K35*Lookups!AY$23)</f>
        <v>#REF!</v>
      </c>
      <c r="P35" s="315" t="e">
        <f>IF(H35="Y",Inputs!#REF!*L35,0)</f>
        <v>#REF!</v>
      </c>
      <c r="Q35" s="315" t="e">
        <f>(I35*Lookups!AW$23)+(J35*Lookups!AX$23)</f>
        <v>#REF!</v>
      </c>
      <c r="R35" s="315" t="e">
        <f t="shared" si="2"/>
        <v>#REF!</v>
      </c>
      <c r="S35" s="315" t="e">
        <f t="shared" si="3"/>
        <v>#REF!</v>
      </c>
    </row>
    <row r="36" spans="1:19" x14ac:dyDescent="0.2">
      <c r="A36" s="335" t="str">
        <f>Inputs!A36</f>
        <v xml:space="preserve"> </v>
      </c>
      <c r="B36" s="307" t="str">
        <f>Inputs!B36</f>
        <v xml:space="preserve"> </v>
      </c>
      <c r="C36" s="101" t="str">
        <f>Inputs!C36</f>
        <v xml:space="preserve"> </v>
      </c>
      <c r="D36" s="101" t="str">
        <f>Inputs!E36</f>
        <v xml:space="preserve"> </v>
      </c>
      <c r="E36" s="293">
        <f>Inputs!F36</f>
        <v>0</v>
      </c>
      <c r="F36" s="100">
        <f>IF(Inputs!N36&lt;(Inputs!K36*12),Inputs!N36/12,Inputs!K36)</f>
        <v>0</v>
      </c>
      <c r="G36" s="293">
        <f>IF(Inputs!N36&lt;(Inputs!K36*12),0,(Inputs!N36/12)-Inputs!K36)</f>
        <v>0</v>
      </c>
      <c r="H36" s="100" t="str">
        <f>IF(Inputs!F36="Plug Pile Wall","Y","N")</f>
        <v>N</v>
      </c>
      <c r="I36" s="101">
        <f>IF(Inputs!F36="Precast Lagging",Inputs!M36,0)</f>
        <v>0</v>
      </c>
      <c r="J36" s="101">
        <f>IF(Inputs!F36="Timber Lagging",Inputs!M36,0)</f>
        <v>0</v>
      </c>
      <c r="K36" s="293">
        <f>Inputs!G36</f>
        <v>0</v>
      </c>
      <c r="L36" s="305" t="e">
        <f>LOOKUP(C36,Lookups!AU$5:AU$18,Lookups!AY$5:AY$18)</f>
        <v>#N/A</v>
      </c>
      <c r="M36" s="303" t="e">
        <f>LOOKUP(C36,Lookups!AU$5:AU$18,Lookups!AZ$5:AZ$18)</f>
        <v>#N/A</v>
      </c>
      <c r="N36" s="303" t="e">
        <f>LOOKUP(B36,Lookups!A$5:A$265,Lookups!J$5:J$265)*1.25</f>
        <v>#N/A</v>
      </c>
      <c r="O36" s="300" t="e">
        <f>(F36*L36)+(G36*M36)+((F36+G36)*N36)+(K36*Lookups!AY$23)</f>
        <v>#N/A</v>
      </c>
      <c r="P36" s="315">
        <f>IF(H36="Y",Inputs!M36*L36,0)</f>
        <v>0</v>
      </c>
      <c r="Q36" s="315">
        <f>(I36*Lookups!AW$23)+(J36*Lookups!AX$23)</f>
        <v>0</v>
      </c>
      <c r="R36" s="315">
        <f t="shared" si="2"/>
        <v>0</v>
      </c>
      <c r="S36" s="315" t="e">
        <f t="shared" si="3"/>
        <v>#N/A</v>
      </c>
    </row>
    <row r="37" spans="1:19" x14ac:dyDescent="0.2">
      <c r="A37" s="335">
        <f>Inputs!A37</f>
        <v>0</v>
      </c>
      <c r="B37" s="307">
        <f>Inputs!B37</f>
        <v>0</v>
      </c>
      <c r="C37" s="101">
        <f>Inputs!C37</f>
        <v>0</v>
      </c>
      <c r="D37" s="101">
        <f>Inputs!E37</f>
        <v>0</v>
      </c>
      <c r="E37" s="293">
        <f>Inputs!F37</f>
        <v>0</v>
      </c>
      <c r="F37" s="100">
        <f>IF(Inputs!N37&lt;(Inputs!K37*12),Inputs!N37/12,Inputs!K37)</f>
        <v>0</v>
      </c>
      <c r="G37" s="293">
        <f>IF(Inputs!N37&lt;(Inputs!K37*12),0,(Inputs!N37/12)-Inputs!K37)</f>
        <v>0</v>
      </c>
      <c r="H37" s="100" t="str">
        <f>IF(Inputs!F37="Plug Pile Wall","Y","N")</f>
        <v>N</v>
      </c>
      <c r="I37" s="101">
        <f>IF(Inputs!F37="Precast Lagging",Inputs!M37,0)</f>
        <v>0</v>
      </c>
      <c r="J37" s="101">
        <f>IF(Inputs!F37="Timber Lagging",Inputs!M37,0)</f>
        <v>0</v>
      </c>
      <c r="K37" s="293">
        <f>Inputs!G37</f>
        <v>0</v>
      </c>
      <c r="L37" s="305" t="e">
        <f>LOOKUP(C37,Lookups!AU$5:AU$18,Lookups!AY$5:AY$18)</f>
        <v>#N/A</v>
      </c>
      <c r="M37" s="303" t="e">
        <f>LOOKUP(C37,Lookups!AU$5:AU$18,Lookups!AZ$5:AZ$18)</f>
        <v>#N/A</v>
      </c>
      <c r="N37" s="303" t="e">
        <f>LOOKUP(B37,Lookups!A$5:A$265,Lookups!J$5:J$265)*1.25</f>
        <v>#N/A</v>
      </c>
      <c r="O37" s="300" t="e">
        <f>(F37*L37)+(G37*M37)+((F37+G37)*N37)+(K37*Lookups!AY$23)</f>
        <v>#N/A</v>
      </c>
      <c r="P37" s="315">
        <f>IF(H37="Y",Inputs!M37*L37,0)</f>
        <v>0</v>
      </c>
      <c r="Q37" s="315">
        <f>(I37*Lookups!AW$23)+(J37*Lookups!AX$23)</f>
        <v>0</v>
      </c>
      <c r="R37" s="315">
        <f t="shared" si="2"/>
        <v>0</v>
      </c>
      <c r="S37" s="315" t="e">
        <f t="shared" si="3"/>
        <v>#N/A</v>
      </c>
    </row>
    <row r="38" spans="1:19" x14ac:dyDescent="0.2">
      <c r="A38" s="335">
        <f>Inputs!A38</f>
        <v>0</v>
      </c>
      <c r="B38" s="307">
        <f>Inputs!B38</f>
        <v>0</v>
      </c>
      <c r="C38" s="101">
        <f>Inputs!C38</f>
        <v>0</v>
      </c>
      <c r="D38" s="101">
        <f>Inputs!E38</f>
        <v>0</v>
      </c>
      <c r="E38" s="293">
        <f>Inputs!F38</f>
        <v>0</v>
      </c>
      <c r="F38" s="100">
        <f>IF(Inputs!N38&lt;(Inputs!K38*12),Inputs!N38/12,Inputs!K38)</f>
        <v>0</v>
      </c>
      <c r="G38" s="293">
        <f>IF(Inputs!N38&lt;(Inputs!K38*12),0,(Inputs!N38/12)-Inputs!K38)</f>
        <v>0</v>
      </c>
      <c r="H38" s="100" t="str">
        <f>IF(Inputs!F38="Plug Pile Wall","Y","N")</f>
        <v>N</v>
      </c>
      <c r="I38" s="101">
        <f>IF(Inputs!F38="Precast Lagging",Inputs!M38,0)</f>
        <v>0</v>
      </c>
      <c r="J38" s="101">
        <f>IF(Inputs!F38="Timber Lagging",Inputs!M38,0)</f>
        <v>0</v>
      </c>
      <c r="K38" s="293">
        <f>Inputs!G38</f>
        <v>0</v>
      </c>
      <c r="L38" s="305" t="e">
        <f>LOOKUP(C38,Lookups!AU$5:AU$18,Lookups!AY$5:AY$18)</f>
        <v>#N/A</v>
      </c>
      <c r="M38" s="303" t="e">
        <f>LOOKUP(C38,Lookups!AU$5:AU$18,Lookups!AZ$5:AZ$18)</f>
        <v>#N/A</v>
      </c>
      <c r="N38" s="303" t="e">
        <f>LOOKUP(B38,Lookups!A$5:A$265,Lookups!J$5:J$265)*1.25</f>
        <v>#N/A</v>
      </c>
      <c r="O38" s="300" t="e">
        <f>(F38*L38)+(G38*M38)+((F38+G38)*N38)+(K38*Lookups!AY$23)</f>
        <v>#N/A</v>
      </c>
      <c r="P38" s="315">
        <f>IF(H38="Y",Inputs!M38*L38,0)</f>
        <v>0</v>
      </c>
      <c r="Q38" s="315">
        <f>(I38*Lookups!AW$23)+(J38*Lookups!AX$23)</f>
        <v>0</v>
      </c>
      <c r="R38" s="315">
        <f t="shared" si="2"/>
        <v>0</v>
      </c>
      <c r="S38" s="315" t="e">
        <f t="shared" si="3"/>
        <v>#N/A</v>
      </c>
    </row>
    <row r="39" spans="1:19" x14ac:dyDescent="0.2">
      <c r="A39" s="335">
        <f>Inputs!A39</f>
        <v>0</v>
      </c>
      <c r="B39" s="307">
        <f>Inputs!B39</f>
        <v>0</v>
      </c>
      <c r="C39" s="101">
        <f>Inputs!C39</f>
        <v>0</v>
      </c>
      <c r="D39" s="101">
        <f>Inputs!E39</f>
        <v>0</v>
      </c>
      <c r="E39" s="293">
        <f>Inputs!F39</f>
        <v>0</v>
      </c>
      <c r="F39" s="100">
        <f>IF(Inputs!N39&lt;(Inputs!K39*12),Inputs!N39/12,Inputs!K39)</f>
        <v>0</v>
      </c>
      <c r="G39" s="293">
        <f>IF(Inputs!N39&lt;(Inputs!K39*12),0,(Inputs!N39/12)-Inputs!K39)</f>
        <v>0</v>
      </c>
      <c r="H39" s="100" t="str">
        <f>IF(Inputs!F39="Plug Pile Wall","Y","N")</f>
        <v>N</v>
      </c>
      <c r="I39" s="101">
        <f>IF(Inputs!F39="Precast Lagging",Inputs!M39,0)</f>
        <v>0</v>
      </c>
      <c r="J39" s="101">
        <f>IF(Inputs!F39="Timber Lagging",Inputs!M39,0)</f>
        <v>0</v>
      </c>
      <c r="K39" s="293">
        <f>Inputs!G39</f>
        <v>0</v>
      </c>
      <c r="L39" s="305" t="e">
        <f>LOOKUP(C39,Lookups!AU$5:AU$18,Lookups!AY$5:AY$18)</f>
        <v>#N/A</v>
      </c>
      <c r="M39" s="303" t="e">
        <f>LOOKUP(C39,Lookups!AU$5:AU$18,Lookups!AZ$5:AZ$18)</f>
        <v>#N/A</v>
      </c>
      <c r="N39" s="303" t="e">
        <f>LOOKUP(B39,Lookups!A$5:A$265,Lookups!J$5:J$265)*1.25</f>
        <v>#N/A</v>
      </c>
      <c r="O39" s="300" t="e">
        <f>(F39*L39)+(G39*M39)+((F39+G39)*N39)+(K39*Lookups!AY$23)</f>
        <v>#N/A</v>
      </c>
      <c r="P39" s="315">
        <f>IF(H39="Y",Inputs!M39*L39,0)</f>
        <v>0</v>
      </c>
      <c r="Q39" s="315">
        <f>(I39*Lookups!AW$23)+(J39*Lookups!AX$23)</f>
        <v>0</v>
      </c>
      <c r="R39" s="315">
        <f t="shared" si="2"/>
        <v>0</v>
      </c>
      <c r="S39" s="315" t="e">
        <f t="shared" si="3"/>
        <v>#N/A</v>
      </c>
    </row>
    <row r="40" spans="1:19" x14ac:dyDescent="0.2">
      <c r="A40" s="335">
        <f>Inputs!A40</f>
        <v>0</v>
      </c>
      <c r="B40" s="307">
        <f>Inputs!B40</f>
        <v>0</v>
      </c>
      <c r="C40" s="101">
        <f>Inputs!C40</f>
        <v>0</v>
      </c>
      <c r="D40" s="101">
        <f>Inputs!E40</f>
        <v>0</v>
      </c>
      <c r="E40" s="293">
        <f>Inputs!F40</f>
        <v>0</v>
      </c>
      <c r="F40" s="100">
        <f>IF(Inputs!N40&lt;(Inputs!K40*12),Inputs!N40/12,Inputs!K40)</f>
        <v>0</v>
      </c>
      <c r="G40" s="293">
        <f>IF(Inputs!N40&lt;(Inputs!K40*12),0,(Inputs!N40/12)-Inputs!K40)</f>
        <v>0</v>
      </c>
      <c r="H40" s="100" t="str">
        <f>IF(Inputs!F40="Plug Pile Wall","Y","N")</f>
        <v>N</v>
      </c>
      <c r="I40" s="101">
        <f>IF(Inputs!F40="Precast Lagging",Inputs!M40,0)</f>
        <v>0</v>
      </c>
      <c r="J40" s="101">
        <f>IF(Inputs!F40="Timber Lagging",Inputs!M40,0)</f>
        <v>0</v>
      </c>
      <c r="K40" s="293">
        <f>Inputs!G40</f>
        <v>0</v>
      </c>
      <c r="L40" s="305" t="e">
        <f>LOOKUP(C40,Lookups!AU$5:AU$18,Lookups!AY$5:AY$18)</f>
        <v>#N/A</v>
      </c>
      <c r="M40" s="303" t="e">
        <f>LOOKUP(C40,Lookups!AU$5:AU$18,Lookups!AZ$5:AZ$18)</f>
        <v>#N/A</v>
      </c>
      <c r="N40" s="303" t="e">
        <f>LOOKUP(B40,Lookups!A$5:A$265,Lookups!J$5:J$265)*1.25</f>
        <v>#N/A</v>
      </c>
      <c r="O40" s="300" t="e">
        <f>(F40*L40)+(G40*M40)+((F40+G40)*N40)+(K40*Lookups!AY$23)</f>
        <v>#N/A</v>
      </c>
      <c r="P40" s="315">
        <f>IF(H40="Y",Inputs!M40*L40,0)</f>
        <v>0</v>
      </c>
      <c r="Q40" s="315">
        <f>(I40*Lookups!AW$23)+(J40*Lookups!AX$23)</f>
        <v>0</v>
      </c>
      <c r="R40" s="315">
        <f t="shared" si="2"/>
        <v>0</v>
      </c>
      <c r="S40" s="315" t="e">
        <f t="shared" si="3"/>
        <v>#N/A</v>
      </c>
    </row>
    <row r="41" spans="1:19" x14ac:dyDescent="0.2">
      <c r="A41" s="335">
        <f>Inputs!A41</f>
        <v>0</v>
      </c>
      <c r="B41" s="307">
        <f>Inputs!B41</f>
        <v>0</v>
      </c>
      <c r="C41" s="101">
        <f>Inputs!C41</f>
        <v>0</v>
      </c>
      <c r="D41" s="101">
        <f>Inputs!E41</f>
        <v>0</v>
      </c>
      <c r="E41" s="293">
        <f>Inputs!F41</f>
        <v>0</v>
      </c>
      <c r="F41" s="100">
        <f>IF(Inputs!N41&lt;(Inputs!K41*12),Inputs!N41/12,Inputs!K41)</f>
        <v>0</v>
      </c>
      <c r="G41" s="293">
        <f>IF(Inputs!N41&lt;(Inputs!K41*12),0,(Inputs!N41/12)-Inputs!K41)</f>
        <v>0</v>
      </c>
      <c r="H41" s="100" t="str">
        <f>IF(Inputs!F41="Plug Pile Wall","Y","N")</f>
        <v>N</v>
      </c>
      <c r="I41" s="101">
        <f>IF(Inputs!F41="Precast Lagging",Inputs!M41,0)</f>
        <v>0</v>
      </c>
      <c r="J41" s="101">
        <f>IF(Inputs!F41="Timber Lagging",Inputs!M41,0)</f>
        <v>0</v>
      </c>
      <c r="K41" s="293">
        <f>Inputs!G41</f>
        <v>0</v>
      </c>
      <c r="L41" s="305" t="e">
        <f>LOOKUP(C41,Lookups!AU$5:AU$18,Lookups!AY$5:AY$18)</f>
        <v>#N/A</v>
      </c>
      <c r="M41" s="303" t="e">
        <f>LOOKUP(C41,Lookups!AU$5:AU$18,Lookups!AZ$5:AZ$18)</f>
        <v>#N/A</v>
      </c>
      <c r="N41" s="303" t="e">
        <f>LOOKUP(B41,Lookups!A$5:A$265,Lookups!J$5:J$265)*1.25</f>
        <v>#N/A</v>
      </c>
      <c r="O41" s="300" t="e">
        <f>(F41*L41)+(G41*M41)+((F41+G41)*N41)+(K41*Lookups!AY$23)</f>
        <v>#N/A</v>
      </c>
      <c r="P41" s="315">
        <f>IF(H41="Y",Inputs!M41*L41,0)</f>
        <v>0</v>
      </c>
      <c r="Q41" s="315">
        <f>(I41*Lookups!AW$23)+(J41*Lookups!AX$23)</f>
        <v>0</v>
      </c>
      <c r="R41" s="315">
        <f t="shared" si="2"/>
        <v>0</v>
      </c>
      <c r="S41" s="315" t="e">
        <f t="shared" si="3"/>
        <v>#N/A</v>
      </c>
    </row>
    <row r="42" spans="1:19" x14ac:dyDescent="0.2">
      <c r="A42" s="335">
        <f>Inputs!A42</f>
        <v>0</v>
      </c>
      <c r="B42" s="307">
        <f>Inputs!B42</f>
        <v>0</v>
      </c>
      <c r="C42" s="101">
        <f>Inputs!C42</f>
        <v>0</v>
      </c>
      <c r="D42" s="101">
        <f>Inputs!E42</f>
        <v>0</v>
      </c>
      <c r="E42" s="293">
        <f>Inputs!F42</f>
        <v>0</v>
      </c>
      <c r="F42" s="100">
        <f>IF(Inputs!N42&lt;(Inputs!K42*12),Inputs!N42/12,Inputs!K42)</f>
        <v>0</v>
      </c>
      <c r="G42" s="293">
        <f>IF(Inputs!N42&lt;(Inputs!K42*12),0,(Inputs!N42/12)-Inputs!K42)</f>
        <v>0</v>
      </c>
      <c r="H42" s="100" t="str">
        <f>IF(Inputs!F42="Plug Pile Wall","Y","N")</f>
        <v>N</v>
      </c>
      <c r="I42" s="101">
        <f>IF(Inputs!F42="Precast Lagging",Inputs!M42,0)</f>
        <v>0</v>
      </c>
      <c r="J42" s="101">
        <f>IF(Inputs!F42="Timber Lagging",Inputs!M42,0)</f>
        <v>0</v>
      </c>
      <c r="K42" s="293">
        <f>Inputs!G42</f>
        <v>0</v>
      </c>
      <c r="L42" s="305" t="e">
        <f>LOOKUP(C42,Lookups!AU$5:AU$18,Lookups!AY$5:AY$18)</f>
        <v>#N/A</v>
      </c>
      <c r="M42" s="303" t="e">
        <f>LOOKUP(C42,Lookups!AU$5:AU$18,Lookups!AZ$5:AZ$18)</f>
        <v>#N/A</v>
      </c>
      <c r="N42" s="303" t="e">
        <f>LOOKUP(B42,Lookups!A$5:A$265,Lookups!J$5:J$265)*1.25</f>
        <v>#N/A</v>
      </c>
      <c r="O42" s="300" t="e">
        <f>(F42*L42)+(G42*M42)+((F42+G42)*N42)+(K42*Lookups!AY$23)</f>
        <v>#N/A</v>
      </c>
      <c r="P42" s="315">
        <f>IF(H42="Y",Inputs!M42*L42,0)</f>
        <v>0</v>
      </c>
      <c r="Q42" s="315">
        <f>(I42*Lookups!AW$23)+(J42*Lookups!AX$23)</f>
        <v>0</v>
      </c>
      <c r="R42" s="315">
        <f t="shared" si="2"/>
        <v>0</v>
      </c>
      <c r="S42" s="315" t="e">
        <f t="shared" si="3"/>
        <v>#N/A</v>
      </c>
    </row>
    <row r="43" spans="1:19" x14ac:dyDescent="0.2">
      <c r="A43" s="335">
        <f>Inputs!A43</f>
        <v>0</v>
      </c>
      <c r="B43" s="307">
        <f>Inputs!B43</f>
        <v>0</v>
      </c>
      <c r="C43" s="101">
        <f>Inputs!C43</f>
        <v>0</v>
      </c>
      <c r="D43" s="101">
        <f>Inputs!E43</f>
        <v>0</v>
      </c>
      <c r="E43" s="293">
        <f>Inputs!F43</f>
        <v>0</v>
      </c>
      <c r="F43" s="100">
        <f>IF(Inputs!N43&lt;(Inputs!K43*12),Inputs!N43/12,Inputs!K43)</f>
        <v>0</v>
      </c>
      <c r="G43" s="293">
        <f>IF(Inputs!N43&lt;(Inputs!K43*12),0,(Inputs!N43/12)-Inputs!K43)</f>
        <v>0</v>
      </c>
      <c r="H43" s="100" t="str">
        <f>IF(Inputs!F43="Plug Pile Wall","Y","N")</f>
        <v>N</v>
      </c>
      <c r="I43" s="101">
        <f>IF(Inputs!F43="Precast Lagging",Inputs!M43,0)</f>
        <v>0</v>
      </c>
      <c r="J43" s="101">
        <f>IF(Inputs!F43="Timber Lagging",Inputs!M43,0)</f>
        <v>0</v>
      </c>
      <c r="K43" s="293">
        <f>Inputs!G43</f>
        <v>0</v>
      </c>
      <c r="L43" s="305" t="e">
        <f>LOOKUP(C43,Lookups!AU$5:AU$18,Lookups!AY$5:AY$18)</f>
        <v>#N/A</v>
      </c>
      <c r="M43" s="303" t="e">
        <f>LOOKUP(C43,Lookups!AU$5:AU$18,Lookups!AZ$5:AZ$18)</f>
        <v>#N/A</v>
      </c>
      <c r="N43" s="303" t="e">
        <f>LOOKUP(B43,Lookups!A$5:A$265,Lookups!J$5:J$265)*1.25</f>
        <v>#N/A</v>
      </c>
      <c r="O43" s="300" t="e">
        <f>(F43*L43)+(G43*M43)+((F43+G43)*N43)+(K43*Lookups!AY$23)</f>
        <v>#N/A</v>
      </c>
      <c r="P43" s="315">
        <f>IF(H43="Y",Inputs!M43*L43,0)</f>
        <v>0</v>
      </c>
      <c r="Q43" s="315">
        <f>(I43*Lookups!AW$23)+(J43*Lookups!AX$23)</f>
        <v>0</v>
      </c>
      <c r="R43" s="315">
        <f t="shared" si="2"/>
        <v>0</v>
      </c>
      <c r="S43" s="315" t="e">
        <f t="shared" si="3"/>
        <v>#N/A</v>
      </c>
    </row>
    <row r="44" spans="1:19" x14ac:dyDescent="0.2">
      <c r="A44" s="335">
        <f>Inputs!A44</f>
        <v>0</v>
      </c>
      <c r="B44" s="307">
        <f>Inputs!B44</f>
        <v>0</v>
      </c>
      <c r="C44" s="101">
        <f>Inputs!C44</f>
        <v>0</v>
      </c>
      <c r="D44" s="101">
        <f>Inputs!E44</f>
        <v>0</v>
      </c>
      <c r="E44" s="293">
        <f>Inputs!F44</f>
        <v>0</v>
      </c>
      <c r="F44" s="100">
        <f>IF(Inputs!N44&lt;(Inputs!K44*12),Inputs!N44/12,Inputs!K44)</f>
        <v>0</v>
      </c>
      <c r="G44" s="293">
        <f>IF(Inputs!N44&lt;(Inputs!K44*12),0,(Inputs!N44/12)-Inputs!K44)</f>
        <v>0</v>
      </c>
      <c r="H44" s="100" t="str">
        <f>IF(Inputs!F44="Plug Pile Wall","Y","N")</f>
        <v>N</v>
      </c>
      <c r="I44" s="101">
        <f>IF(Inputs!F44="Precast Lagging",Inputs!M44,0)</f>
        <v>0</v>
      </c>
      <c r="J44" s="101">
        <f>IF(Inputs!F44="Timber Lagging",Inputs!M44,0)</f>
        <v>0</v>
      </c>
      <c r="K44" s="293">
        <f>Inputs!G44</f>
        <v>0</v>
      </c>
      <c r="L44" s="305" t="e">
        <f>LOOKUP(C44,Lookups!AU$5:AU$18,Lookups!AY$5:AY$18)</f>
        <v>#N/A</v>
      </c>
      <c r="M44" s="303" t="e">
        <f>LOOKUP(C44,Lookups!AU$5:AU$18,Lookups!AZ$5:AZ$18)</f>
        <v>#N/A</v>
      </c>
      <c r="N44" s="303" t="e">
        <f>LOOKUP(B44,Lookups!A$5:A$265,Lookups!J$5:J$265)*1.25</f>
        <v>#N/A</v>
      </c>
      <c r="O44" s="300" t="e">
        <f>(F44*L44)+(G44*M44)+((F44+G44)*N44)+(K44*Lookups!AY$23)</f>
        <v>#N/A</v>
      </c>
      <c r="P44" s="315">
        <f>IF(H44="Y",Inputs!M44*L44,0)</f>
        <v>0</v>
      </c>
      <c r="Q44" s="315">
        <f>(I44*Lookups!AW$23)+(J44*Lookups!AX$23)</f>
        <v>0</v>
      </c>
      <c r="R44" s="315">
        <f t="shared" si="2"/>
        <v>0</v>
      </c>
      <c r="S44" s="315" t="e">
        <f t="shared" si="3"/>
        <v>#N/A</v>
      </c>
    </row>
    <row r="45" spans="1:19" x14ac:dyDescent="0.2">
      <c r="A45" s="335">
        <f>Inputs!A45</f>
        <v>0</v>
      </c>
      <c r="B45" s="307">
        <f>Inputs!B45</f>
        <v>0</v>
      </c>
      <c r="C45" s="101">
        <f>Inputs!C45</f>
        <v>0</v>
      </c>
      <c r="D45" s="101">
        <f>Inputs!E45</f>
        <v>0</v>
      </c>
      <c r="E45" s="293">
        <f>Inputs!F45</f>
        <v>0</v>
      </c>
      <c r="F45" s="100">
        <f>IF(Inputs!N45&lt;(Inputs!K45*12),Inputs!N45/12,Inputs!K45)</f>
        <v>0</v>
      </c>
      <c r="G45" s="293">
        <f>IF(Inputs!N45&lt;(Inputs!K45*12),0,(Inputs!N45/12)-Inputs!K45)</f>
        <v>0</v>
      </c>
      <c r="H45" s="100" t="str">
        <f>IF(Inputs!F45="Plug Pile Wall","Y","N")</f>
        <v>N</v>
      </c>
      <c r="I45" s="101">
        <f>IF(Inputs!F45="Precast Lagging",Inputs!M45,0)</f>
        <v>0</v>
      </c>
      <c r="J45" s="101">
        <f>IF(Inputs!F45="Timber Lagging",Inputs!M45,0)</f>
        <v>0</v>
      </c>
      <c r="K45" s="293">
        <f>Inputs!G45</f>
        <v>0</v>
      </c>
      <c r="L45" s="305" t="e">
        <f>LOOKUP(C45,Lookups!AU$5:AU$18,Lookups!AY$5:AY$18)</f>
        <v>#N/A</v>
      </c>
      <c r="M45" s="303" t="e">
        <f>LOOKUP(C45,Lookups!AU$5:AU$18,Lookups!AZ$5:AZ$18)</f>
        <v>#N/A</v>
      </c>
      <c r="N45" s="303" t="e">
        <f>LOOKUP(B45,Lookups!A$5:A$265,Lookups!J$5:J$265)*1.25</f>
        <v>#N/A</v>
      </c>
      <c r="O45" s="300" t="e">
        <f>(F45*L45)+(G45*M45)+((F45+G45)*N45)+(K45*Lookups!AY$23)</f>
        <v>#N/A</v>
      </c>
      <c r="P45" s="315">
        <f>IF(H45="Y",Inputs!M45*L45,0)</f>
        <v>0</v>
      </c>
      <c r="Q45" s="315">
        <f>(I45*Lookups!AW$23)+(J45*Lookups!AX$23)</f>
        <v>0</v>
      </c>
      <c r="R45" s="315">
        <f t="shared" si="2"/>
        <v>0</v>
      </c>
      <c r="S45" s="315" t="e">
        <f t="shared" si="3"/>
        <v>#N/A</v>
      </c>
    </row>
    <row r="46" spans="1:19" x14ac:dyDescent="0.2">
      <c r="A46" s="335">
        <f>Inputs!A46</f>
        <v>0</v>
      </c>
      <c r="B46" s="307">
        <f>Inputs!B46</f>
        <v>0</v>
      </c>
      <c r="C46" s="101">
        <f>Inputs!C46</f>
        <v>0</v>
      </c>
      <c r="D46" s="101">
        <f>Inputs!E46</f>
        <v>0</v>
      </c>
      <c r="E46" s="293">
        <f>Inputs!F46</f>
        <v>0</v>
      </c>
      <c r="F46" s="100">
        <f>IF(Inputs!N46&lt;(Inputs!K46*12),Inputs!N46/12,Inputs!K46)</f>
        <v>0</v>
      </c>
      <c r="G46" s="293">
        <f>IF(Inputs!N46&lt;(Inputs!K46*12),0,(Inputs!N46/12)-Inputs!K46)</f>
        <v>0</v>
      </c>
      <c r="H46" s="100" t="str">
        <f>IF(Inputs!F46="Plug Pile Wall","Y","N")</f>
        <v>N</v>
      </c>
      <c r="I46" s="101">
        <f>IF(Inputs!F46="Precast Lagging",Inputs!M46,0)</f>
        <v>0</v>
      </c>
      <c r="J46" s="101">
        <f>IF(Inputs!F46="Timber Lagging",Inputs!M46,0)</f>
        <v>0</v>
      </c>
      <c r="K46" s="293">
        <f>Inputs!G46</f>
        <v>0</v>
      </c>
      <c r="L46" s="305" t="e">
        <f>LOOKUP(C46,Lookups!AU$5:AU$18,Lookups!AY$5:AY$18)</f>
        <v>#N/A</v>
      </c>
      <c r="M46" s="303" t="e">
        <f>LOOKUP(C46,Lookups!AU$5:AU$18,Lookups!AZ$5:AZ$18)</f>
        <v>#N/A</v>
      </c>
      <c r="N46" s="303" t="e">
        <f>LOOKUP(B46,Lookups!A$5:A$265,Lookups!J$5:J$265)*1.25</f>
        <v>#N/A</v>
      </c>
      <c r="O46" s="300" t="e">
        <f>(F46*L46)+(G46*M46)+((F46+G46)*N46)+(K46*Lookups!AY$23)</f>
        <v>#N/A</v>
      </c>
      <c r="P46" s="315">
        <f>IF(H46="Y",Inputs!M46*L46,0)</f>
        <v>0</v>
      </c>
      <c r="Q46" s="315">
        <f>(I46*Lookups!AW$23)+(J46*Lookups!AX$23)</f>
        <v>0</v>
      </c>
      <c r="R46" s="315">
        <f t="shared" si="2"/>
        <v>0</v>
      </c>
      <c r="S46" s="315" t="e">
        <f t="shared" si="3"/>
        <v>#N/A</v>
      </c>
    </row>
    <row r="47" spans="1:19" x14ac:dyDescent="0.2">
      <c r="A47" s="335">
        <f>Inputs!A47</f>
        <v>0</v>
      </c>
      <c r="B47" s="307">
        <f>Inputs!B47</f>
        <v>0</v>
      </c>
      <c r="C47" s="101">
        <f>Inputs!C47</f>
        <v>0</v>
      </c>
      <c r="D47" s="101">
        <f>Inputs!E47</f>
        <v>0</v>
      </c>
      <c r="E47" s="293">
        <f>Inputs!F47</f>
        <v>0</v>
      </c>
      <c r="F47" s="100">
        <f>IF(Inputs!N47&lt;(Inputs!K47*12),Inputs!N47/12,Inputs!K47)</f>
        <v>0</v>
      </c>
      <c r="G47" s="293">
        <f>IF(Inputs!N47&lt;(Inputs!K47*12),0,(Inputs!N47/12)-Inputs!K47)</f>
        <v>0</v>
      </c>
      <c r="H47" s="100" t="str">
        <f>IF(Inputs!F47="Plug Pile Wall","Y","N")</f>
        <v>N</v>
      </c>
      <c r="I47" s="101">
        <f>IF(Inputs!F47="Precast Lagging",Inputs!M47,0)</f>
        <v>0</v>
      </c>
      <c r="J47" s="101">
        <f>IF(Inputs!F47="Timber Lagging",Inputs!M47,0)</f>
        <v>0</v>
      </c>
      <c r="K47" s="293">
        <f>Inputs!G47</f>
        <v>0</v>
      </c>
      <c r="L47" s="305" t="e">
        <f>LOOKUP(C47,Lookups!AU$5:AU$18,Lookups!AY$5:AY$18)</f>
        <v>#N/A</v>
      </c>
      <c r="M47" s="303" t="e">
        <f>LOOKUP(C47,Lookups!AU$5:AU$18,Lookups!AZ$5:AZ$18)</f>
        <v>#N/A</v>
      </c>
      <c r="N47" s="303" t="e">
        <f>LOOKUP(B47,Lookups!A$5:A$265,Lookups!J$5:J$265)*1.25</f>
        <v>#N/A</v>
      </c>
      <c r="O47" s="300" t="e">
        <f>(F47*L47)+(G47*M47)+((F47+G47)*N47)+(K47*Lookups!AY$23)</f>
        <v>#N/A</v>
      </c>
      <c r="P47" s="315">
        <f>IF(H47="Y",Inputs!M47*L47,0)</f>
        <v>0</v>
      </c>
      <c r="Q47" s="315">
        <f>(I47*Lookups!AW$23)+(J47*Lookups!AX$23)</f>
        <v>0</v>
      </c>
      <c r="R47" s="315">
        <f t="shared" si="2"/>
        <v>0</v>
      </c>
      <c r="S47" s="315" t="e">
        <f t="shared" si="3"/>
        <v>#N/A</v>
      </c>
    </row>
    <row r="48" spans="1:19" x14ac:dyDescent="0.2">
      <c r="A48" s="335">
        <f>Inputs!A48</f>
        <v>0</v>
      </c>
      <c r="B48" s="307">
        <f>Inputs!B48</f>
        <v>0</v>
      </c>
      <c r="C48" s="101">
        <f>Inputs!C48</f>
        <v>0</v>
      </c>
      <c r="D48" s="101">
        <f>Inputs!E48</f>
        <v>0</v>
      </c>
      <c r="E48" s="293">
        <f>Inputs!F48</f>
        <v>0</v>
      </c>
      <c r="F48" s="100">
        <f>IF(Inputs!N48&lt;(Inputs!K48*12),Inputs!N48/12,Inputs!K48)</f>
        <v>0</v>
      </c>
      <c r="G48" s="293">
        <f>IF(Inputs!N48&lt;(Inputs!K48*12),0,(Inputs!N48/12)-Inputs!K48)</f>
        <v>0</v>
      </c>
      <c r="H48" s="100" t="str">
        <f>IF(Inputs!F48="Plug Pile Wall","Y","N")</f>
        <v>N</v>
      </c>
      <c r="I48" s="101">
        <f>IF(Inputs!F48="Precast Lagging",Inputs!M48,0)</f>
        <v>0</v>
      </c>
      <c r="J48" s="101">
        <f>IF(Inputs!F48="Timber Lagging",Inputs!M48,0)</f>
        <v>0</v>
      </c>
      <c r="K48" s="293">
        <f>Inputs!G48</f>
        <v>0</v>
      </c>
      <c r="L48" s="305" t="e">
        <f>LOOKUP(C48,Lookups!AU$5:AU$18,Lookups!AY$5:AY$18)</f>
        <v>#N/A</v>
      </c>
      <c r="M48" s="303" t="e">
        <f>LOOKUP(C48,Lookups!AU$5:AU$18,Lookups!AZ$5:AZ$18)</f>
        <v>#N/A</v>
      </c>
      <c r="N48" s="303" t="e">
        <f>LOOKUP(B48,Lookups!A$5:A$265,Lookups!J$5:J$265)*1.25</f>
        <v>#N/A</v>
      </c>
      <c r="O48" s="300" t="e">
        <f>(F48*L48)+(G48*M48)+((F48+G48)*N48)+(K48*Lookups!AY$23)</f>
        <v>#N/A</v>
      </c>
      <c r="P48" s="315">
        <f>IF(H48="Y",Inputs!M48*L48,0)</f>
        <v>0</v>
      </c>
      <c r="Q48" s="315">
        <f>(I48*Lookups!AW$23)+(J48*Lookups!AX$23)</f>
        <v>0</v>
      </c>
      <c r="R48" s="315">
        <f t="shared" si="2"/>
        <v>0</v>
      </c>
      <c r="S48" s="315" t="e">
        <f t="shared" si="3"/>
        <v>#N/A</v>
      </c>
    </row>
    <row r="49" spans="1:19" x14ac:dyDescent="0.2">
      <c r="A49" s="335">
        <f>Inputs!A49</f>
        <v>0</v>
      </c>
      <c r="B49" s="307">
        <f>Inputs!B49</f>
        <v>0</v>
      </c>
      <c r="C49" s="101">
        <f>Inputs!C49</f>
        <v>0</v>
      </c>
      <c r="D49" s="101">
        <f>Inputs!E49</f>
        <v>0</v>
      </c>
      <c r="E49" s="293">
        <f>Inputs!F49</f>
        <v>0</v>
      </c>
      <c r="F49" s="100">
        <f>IF(Inputs!N49&lt;(Inputs!K49*12),Inputs!N49/12,Inputs!K49)</f>
        <v>0</v>
      </c>
      <c r="G49" s="293">
        <f>IF(Inputs!N49&lt;(Inputs!K49*12),0,(Inputs!N49/12)-Inputs!K49)</f>
        <v>0</v>
      </c>
      <c r="H49" s="100" t="str">
        <f>IF(Inputs!F49="Plug Pile Wall","Y","N")</f>
        <v>N</v>
      </c>
      <c r="I49" s="101">
        <f>IF(Inputs!F49="Precast Lagging",Inputs!M49,0)</f>
        <v>0</v>
      </c>
      <c r="J49" s="101">
        <f>IF(Inputs!F49="Timber Lagging",Inputs!M49,0)</f>
        <v>0</v>
      </c>
      <c r="K49" s="293">
        <f>Inputs!G49</f>
        <v>0</v>
      </c>
      <c r="L49" s="305" t="e">
        <f>LOOKUP(C49,Lookups!AU$5:AU$18,Lookups!AY$5:AY$18)</f>
        <v>#N/A</v>
      </c>
      <c r="M49" s="303" t="e">
        <f>LOOKUP(C49,Lookups!AU$5:AU$18,Lookups!AZ$5:AZ$18)</f>
        <v>#N/A</v>
      </c>
      <c r="N49" s="303" t="e">
        <f>LOOKUP(B49,Lookups!A$5:A$265,Lookups!J$5:J$265)*1.25</f>
        <v>#N/A</v>
      </c>
      <c r="O49" s="300" t="e">
        <f>(F49*L49)+(G49*M49)+((F49+G49)*N49)+(K49*Lookups!AY$23)</f>
        <v>#N/A</v>
      </c>
      <c r="P49" s="315">
        <f>IF(H49="Y",Inputs!M49*L49,0)</f>
        <v>0</v>
      </c>
      <c r="Q49" s="315">
        <f>(I49*Lookups!AW$23)+(J49*Lookups!AX$23)</f>
        <v>0</v>
      </c>
      <c r="R49" s="315">
        <f t="shared" si="2"/>
        <v>0</v>
      </c>
      <c r="S49" s="315" t="e">
        <f t="shared" si="3"/>
        <v>#N/A</v>
      </c>
    </row>
    <row r="50" spans="1:19" x14ac:dyDescent="0.2">
      <c r="A50" s="335">
        <f>Inputs!A50</f>
        <v>0</v>
      </c>
      <c r="B50" s="307">
        <f>Inputs!B50</f>
        <v>0</v>
      </c>
      <c r="C50" s="101">
        <f>Inputs!C50</f>
        <v>0</v>
      </c>
      <c r="D50" s="101">
        <f>Inputs!E50</f>
        <v>0</v>
      </c>
      <c r="E50" s="293">
        <f>Inputs!F50</f>
        <v>0</v>
      </c>
      <c r="F50" s="100">
        <f>IF(Inputs!N50&lt;(Inputs!K50*12),Inputs!N50/12,Inputs!K50)</f>
        <v>0</v>
      </c>
      <c r="G50" s="293">
        <f>IF(Inputs!N50&lt;(Inputs!K50*12),0,(Inputs!N50/12)-Inputs!K50)</f>
        <v>0</v>
      </c>
      <c r="H50" s="100" t="str">
        <f>IF(Inputs!F50="Plug Pile Wall","Y","N")</f>
        <v>N</v>
      </c>
      <c r="I50" s="101">
        <f>IF(Inputs!F50="Precast Lagging",Inputs!M50,0)</f>
        <v>0</v>
      </c>
      <c r="J50" s="101">
        <f>IF(Inputs!F50="Timber Lagging",Inputs!M50,0)</f>
        <v>0</v>
      </c>
      <c r="K50" s="293">
        <f>Inputs!G50</f>
        <v>0</v>
      </c>
      <c r="L50" s="305" t="e">
        <f>LOOKUP(C50,Lookups!AU$5:AU$18,Lookups!AY$5:AY$18)</f>
        <v>#N/A</v>
      </c>
      <c r="M50" s="303" t="e">
        <f>LOOKUP(C50,Lookups!AU$5:AU$18,Lookups!AZ$5:AZ$18)</f>
        <v>#N/A</v>
      </c>
      <c r="N50" s="303" t="e">
        <f>LOOKUP(B50,Lookups!A$5:A$265,Lookups!J$5:J$265)*1.25</f>
        <v>#N/A</v>
      </c>
      <c r="O50" s="300" t="e">
        <f>(F50*L50)+(G50*M50)+((F50+G50)*N50)+(K50*Lookups!AY$23)</f>
        <v>#N/A</v>
      </c>
      <c r="P50" s="315">
        <f>IF(H50="Y",Inputs!M50*L50,0)</f>
        <v>0</v>
      </c>
      <c r="Q50" s="315">
        <f>(I50*Lookups!AW$23)+(J50*Lookups!AX$23)</f>
        <v>0</v>
      </c>
      <c r="R50" s="315">
        <f t="shared" si="2"/>
        <v>0</v>
      </c>
      <c r="S50" s="315" t="e">
        <f t="shared" si="3"/>
        <v>#N/A</v>
      </c>
    </row>
    <row r="51" spans="1:19" x14ac:dyDescent="0.2">
      <c r="A51" s="335">
        <f>Inputs!A51</f>
        <v>0</v>
      </c>
      <c r="B51" s="307">
        <f>Inputs!B51</f>
        <v>0</v>
      </c>
      <c r="C51" s="101">
        <f>Inputs!C51</f>
        <v>0</v>
      </c>
      <c r="D51" s="101">
        <f>Inputs!E51</f>
        <v>0</v>
      </c>
      <c r="E51" s="293">
        <f>Inputs!F51</f>
        <v>0</v>
      </c>
      <c r="F51" s="100">
        <f>IF(Inputs!N51&lt;(Inputs!K51*12),Inputs!N51/12,Inputs!K51)</f>
        <v>0</v>
      </c>
      <c r="G51" s="293">
        <f>IF(Inputs!N51&lt;(Inputs!K51*12),0,(Inputs!N51/12)-Inputs!K51)</f>
        <v>0</v>
      </c>
      <c r="H51" s="100" t="str">
        <f>IF(Inputs!F51="Plug Pile Wall","Y","N")</f>
        <v>N</v>
      </c>
      <c r="I51" s="101">
        <f>IF(Inputs!F51="Precast Lagging",Inputs!M51,0)</f>
        <v>0</v>
      </c>
      <c r="J51" s="101">
        <f>IF(Inputs!F51="Timber Lagging",Inputs!M51,0)</f>
        <v>0</v>
      </c>
      <c r="K51" s="293">
        <f>Inputs!G51</f>
        <v>0</v>
      </c>
      <c r="L51" s="305" t="e">
        <f>LOOKUP(C51,Lookups!AU$5:AU$18,Lookups!AY$5:AY$18)</f>
        <v>#N/A</v>
      </c>
      <c r="M51" s="303" t="e">
        <f>LOOKUP(C51,Lookups!AU$5:AU$18,Lookups!AZ$5:AZ$18)</f>
        <v>#N/A</v>
      </c>
      <c r="N51" s="303" t="e">
        <f>LOOKUP(B51,Lookups!A$5:A$265,Lookups!J$5:J$265)*1.25</f>
        <v>#N/A</v>
      </c>
      <c r="O51" s="300" t="e">
        <f>(F51*L51)+(G51*M51)+((F51+G51)*N51)+(K51*Lookups!AY$23)</f>
        <v>#N/A</v>
      </c>
      <c r="P51" s="315">
        <f>IF(H51="Y",Inputs!M51*L51,0)</f>
        <v>0</v>
      </c>
      <c r="Q51" s="315">
        <f>(I51*Lookups!AW$23)+(J51*Lookups!AX$23)</f>
        <v>0</v>
      </c>
      <c r="R51" s="315">
        <f t="shared" si="2"/>
        <v>0</v>
      </c>
      <c r="S51" s="315" t="e">
        <f t="shared" si="3"/>
        <v>#N/A</v>
      </c>
    </row>
    <row r="52" spans="1:19" x14ac:dyDescent="0.2">
      <c r="A52" s="335">
        <f>Inputs!A52</f>
        <v>0</v>
      </c>
      <c r="B52" s="307">
        <f>Inputs!B52</f>
        <v>0</v>
      </c>
      <c r="C52" s="101">
        <f>Inputs!C52</f>
        <v>0</v>
      </c>
      <c r="D52" s="101">
        <f>Inputs!E52</f>
        <v>0</v>
      </c>
      <c r="E52" s="293">
        <f>Inputs!F52</f>
        <v>0</v>
      </c>
      <c r="F52" s="100">
        <f>IF(Inputs!N52&lt;(Inputs!K52*12),Inputs!N52/12,Inputs!K52)</f>
        <v>0</v>
      </c>
      <c r="G52" s="293">
        <f>IF(Inputs!N52&lt;(Inputs!K52*12),0,(Inputs!N52/12)-Inputs!K52)</f>
        <v>0</v>
      </c>
      <c r="H52" s="100" t="str">
        <f>IF(Inputs!F52="Plug Pile Wall","Y","N")</f>
        <v>N</v>
      </c>
      <c r="I52" s="101">
        <f>IF(Inputs!F52="Precast Lagging",Inputs!M52,0)</f>
        <v>0</v>
      </c>
      <c r="J52" s="101">
        <f>IF(Inputs!F52="Timber Lagging",Inputs!M52,0)</f>
        <v>0</v>
      </c>
      <c r="K52" s="293">
        <f>Inputs!G52</f>
        <v>0</v>
      </c>
      <c r="L52" s="305" t="e">
        <f>LOOKUP(C52,Lookups!AU$5:AU$18,Lookups!AY$5:AY$18)</f>
        <v>#N/A</v>
      </c>
      <c r="M52" s="303" t="e">
        <f>LOOKUP(C52,Lookups!AU$5:AU$18,Lookups!AZ$5:AZ$18)</f>
        <v>#N/A</v>
      </c>
      <c r="N52" s="303" t="e">
        <f>LOOKUP(B52,Lookups!A$5:A$265,Lookups!J$5:J$265)*1.25</f>
        <v>#N/A</v>
      </c>
      <c r="O52" s="300" t="e">
        <f>(F52*L52)+(G52*M52)+((F52+G52)*N52)+(K52*Lookups!AY$23)</f>
        <v>#N/A</v>
      </c>
      <c r="P52" s="315">
        <f>IF(H52="Y",Inputs!M52*L52,0)</f>
        <v>0</v>
      </c>
      <c r="Q52" s="315">
        <f>(I52*Lookups!AW$23)+(J52*Lookups!AX$23)</f>
        <v>0</v>
      </c>
      <c r="R52" s="315">
        <f t="shared" si="2"/>
        <v>0</v>
      </c>
      <c r="S52" s="315" t="e">
        <f t="shared" si="3"/>
        <v>#N/A</v>
      </c>
    </row>
    <row r="53" spans="1:19" x14ac:dyDescent="0.2">
      <c r="A53" s="335">
        <f>Inputs!A53</f>
        <v>0</v>
      </c>
      <c r="B53" s="307">
        <f>Inputs!B53</f>
        <v>0</v>
      </c>
      <c r="C53" s="101">
        <f>Inputs!C53</f>
        <v>0</v>
      </c>
      <c r="D53" s="101">
        <f>Inputs!E53</f>
        <v>0</v>
      </c>
      <c r="E53" s="293">
        <f>Inputs!F53</f>
        <v>0</v>
      </c>
      <c r="F53" s="100">
        <f>IF(Inputs!N53&lt;(Inputs!K53*12),Inputs!N53/12,Inputs!K53)</f>
        <v>0</v>
      </c>
      <c r="G53" s="293">
        <f>IF(Inputs!N53&lt;(Inputs!K53*12),0,(Inputs!N53/12)-Inputs!K53)</f>
        <v>0</v>
      </c>
      <c r="H53" s="100" t="str">
        <f>IF(Inputs!F53="Plug Pile Wall","Y","N")</f>
        <v>N</v>
      </c>
      <c r="I53" s="101">
        <f>IF(Inputs!F53="Precast Lagging",Inputs!M53,0)</f>
        <v>0</v>
      </c>
      <c r="J53" s="101">
        <f>IF(Inputs!F53="Timber Lagging",Inputs!M53,0)</f>
        <v>0</v>
      </c>
      <c r="K53" s="293">
        <f>Inputs!G53</f>
        <v>0</v>
      </c>
      <c r="L53" s="305" t="e">
        <f>LOOKUP(C53,Lookups!AU$5:AU$18,Lookups!AY$5:AY$18)</f>
        <v>#N/A</v>
      </c>
      <c r="M53" s="303" t="e">
        <f>LOOKUP(C53,Lookups!AU$5:AU$18,Lookups!AZ$5:AZ$18)</f>
        <v>#N/A</v>
      </c>
      <c r="N53" s="303" t="e">
        <f>LOOKUP(B53,Lookups!A$5:A$265,Lookups!J$5:J$265)*1.25</f>
        <v>#N/A</v>
      </c>
      <c r="O53" s="300" t="e">
        <f>(F53*L53)+(G53*M53)+((F53+G53)*N53)+(K53*Lookups!AY$23)</f>
        <v>#N/A</v>
      </c>
      <c r="P53" s="315">
        <f>IF(H53="Y",Inputs!M53*L53,0)</f>
        <v>0</v>
      </c>
      <c r="Q53" s="315">
        <f>(I53*Lookups!AW$23)+(J53*Lookups!AX$23)</f>
        <v>0</v>
      </c>
      <c r="R53" s="315">
        <f t="shared" si="2"/>
        <v>0</v>
      </c>
      <c r="S53" s="315" t="e">
        <f t="shared" si="3"/>
        <v>#N/A</v>
      </c>
    </row>
    <row r="54" spans="1:19" x14ac:dyDescent="0.2">
      <c r="A54" s="335">
        <f>Inputs!A54</f>
        <v>0</v>
      </c>
      <c r="B54" s="307">
        <f>Inputs!B54</f>
        <v>0</v>
      </c>
      <c r="C54" s="101">
        <f>Inputs!C54</f>
        <v>0</v>
      </c>
      <c r="D54" s="101">
        <f>Inputs!E54</f>
        <v>0</v>
      </c>
      <c r="E54" s="293">
        <f>Inputs!F54</f>
        <v>0</v>
      </c>
      <c r="F54" s="100">
        <f>IF(Inputs!N54&lt;(Inputs!K54*12),Inputs!N54/12,Inputs!K54)</f>
        <v>0</v>
      </c>
      <c r="G54" s="293">
        <f>IF(Inputs!N54&lt;(Inputs!K54*12),0,(Inputs!N54/12)-Inputs!K54)</f>
        <v>0</v>
      </c>
      <c r="H54" s="100" t="str">
        <f>IF(Inputs!F54="Plug Pile Wall","Y","N")</f>
        <v>N</v>
      </c>
      <c r="I54" s="101">
        <f>IF(Inputs!F54="Precast Lagging",Inputs!M54,0)</f>
        <v>0</v>
      </c>
      <c r="J54" s="101">
        <f>IF(Inputs!F54="Timber Lagging",Inputs!M54,0)</f>
        <v>0</v>
      </c>
      <c r="K54" s="293">
        <f>Inputs!G54</f>
        <v>0</v>
      </c>
      <c r="L54" s="305" t="e">
        <f>LOOKUP(C54,Lookups!AU$5:AU$18,Lookups!AY$5:AY$18)</f>
        <v>#N/A</v>
      </c>
      <c r="M54" s="303" t="e">
        <f>LOOKUP(C54,Lookups!AU$5:AU$18,Lookups!AZ$5:AZ$18)</f>
        <v>#N/A</v>
      </c>
      <c r="N54" s="303" t="e">
        <f>LOOKUP(B54,Lookups!A$5:A$265,Lookups!J$5:J$265)*1.25</f>
        <v>#N/A</v>
      </c>
      <c r="O54" s="300" t="e">
        <f>(F54*L54)+(G54*M54)+((F54+G54)*N54)+(K54*Lookups!AY$23)</f>
        <v>#N/A</v>
      </c>
      <c r="P54" s="315">
        <f>IF(H54="Y",Inputs!M54*L54,0)</f>
        <v>0</v>
      </c>
      <c r="Q54" s="315">
        <f>(I54*Lookups!AW$23)+(J54*Lookups!AX$23)</f>
        <v>0</v>
      </c>
      <c r="R54" s="315">
        <f t="shared" si="2"/>
        <v>0</v>
      </c>
      <c r="S54" s="315" t="e">
        <f t="shared" si="3"/>
        <v>#N/A</v>
      </c>
    </row>
    <row r="55" spans="1:19" x14ac:dyDescent="0.2">
      <c r="A55" s="335">
        <f>Inputs!A55</f>
        <v>0</v>
      </c>
      <c r="B55" s="307">
        <f>Inputs!B55</f>
        <v>0</v>
      </c>
      <c r="C55" s="101">
        <f>Inputs!C55</f>
        <v>0</v>
      </c>
      <c r="D55" s="101">
        <f>Inputs!E55</f>
        <v>0</v>
      </c>
      <c r="E55" s="293">
        <f>Inputs!F55</f>
        <v>0</v>
      </c>
      <c r="F55" s="100">
        <f>IF(Inputs!N55&lt;(Inputs!K55*12),Inputs!N55/12,Inputs!K55)</f>
        <v>0</v>
      </c>
      <c r="G55" s="293">
        <f>IF(Inputs!N55&lt;(Inputs!K55*12),0,(Inputs!N55/12)-Inputs!K55)</f>
        <v>0</v>
      </c>
      <c r="H55" s="100" t="str">
        <f>IF(Inputs!F55="Plug Pile Wall","Y","N")</f>
        <v>N</v>
      </c>
      <c r="I55" s="101">
        <f>IF(Inputs!F55="Precast Lagging",Inputs!M55,0)</f>
        <v>0</v>
      </c>
      <c r="J55" s="101">
        <f>IF(Inputs!F55="Timber Lagging",Inputs!M55,0)</f>
        <v>0</v>
      </c>
      <c r="K55" s="293">
        <f>Inputs!G55</f>
        <v>0</v>
      </c>
      <c r="L55" s="305" t="e">
        <f>LOOKUP(C55,Lookups!AU$5:AU$18,Lookups!AY$5:AY$18)</f>
        <v>#N/A</v>
      </c>
      <c r="M55" s="303" t="e">
        <f>LOOKUP(C55,Lookups!AU$5:AU$18,Lookups!AZ$5:AZ$18)</f>
        <v>#N/A</v>
      </c>
      <c r="N55" s="303" t="e">
        <f>LOOKUP(B55,Lookups!A$5:A$265,Lookups!J$5:J$265)*1.25</f>
        <v>#N/A</v>
      </c>
      <c r="O55" s="300" t="e">
        <f>(F55*L55)+(G55*M55)+((F55+G55)*N55)+(K55*Lookups!AY$23)</f>
        <v>#N/A</v>
      </c>
      <c r="P55" s="315">
        <f>IF(H55="Y",Inputs!M55*L55,0)</f>
        <v>0</v>
      </c>
      <c r="Q55" s="315">
        <f>(I55*Lookups!AW$23)+(J55*Lookups!AX$23)</f>
        <v>0</v>
      </c>
      <c r="R55" s="315">
        <f t="shared" si="2"/>
        <v>0</v>
      </c>
      <c r="S55" s="315" t="e">
        <f t="shared" si="3"/>
        <v>#N/A</v>
      </c>
    </row>
    <row r="56" spans="1:19" x14ac:dyDescent="0.2">
      <c r="A56" s="335">
        <f>Inputs!A56</f>
        <v>0</v>
      </c>
      <c r="B56" s="307">
        <f>Inputs!B56</f>
        <v>0</v>
      </c>
      <c r="C56" s="101">
        <f>Inputs!C56</f>
        <v>0</v>
      </c>
      <c r="D56" s="101">
        <f>Inputs!E56</f>
        <v>0</v>
      </c>
      <c r="E56" s="293">
        <f>Inputs!F56</f>
        <v>0</v>
      </c>
      <c r="F56" s="100">
        <f>IF(Inputs!N56&lt;(Inputs!K56*12),Inputs!N56/12,Inputs!K56)</f>
        <v>0</v>
      </c>
      <c r="G56" s="293">
        <f>IF(Inputs!N56&lt;(Inputs!K56*12),0,(Inputs!N56/12)-Inputs!K56)</f>
        <v>0</v>
      </c>
      <c r="H56" s="100" t="str">
        <f>IF(Inputs!F56="Plug Pile Wall","Y","N")</f>
        <v>N</v>
      </c>
      <c r="I56" s="101">
        <f>IF(Inputs!F56="Precast Lagging",Inputs!M56,0)</f>
        <v>0</v>
      </c>
      <c r="J56" s="101">
        <f>IF(Inputs!F56="Timber Lagging",Inputs!M56,0)</f>
        <v>0</v>
      </c>
      <c r="K56" s="293">
        <f>Inputs!G56</f>
        <v>0</v>
      </c>
      <c r="L56" s="305" t="e">
        <f>LOOKUP(C56,Lookups!AU$5:AU$18,Lookups!AY$5:AY$18)</f>
        <v>#N/A</v>
      </c>
      <c r="M56" s="303" t="e">
        <f>LOOKUP(C56,Lookups!AU$5:AU$18,Lookups!AZ$5:AZ$18)</f>
        <v>#N/A</v>
      </c>
      <c r="N56" s="303" t="e">
        <f>LOOKUP(B56,Lookups!A$5:A$265,Lookups!J$5:J$265)*1.25</f>
        <v>#N/A</v>
      </c>
      <c r="O56" s="300" t="e">
        <f>(F56*L56)+(G56*M56)+((F56+G56)*N56)+(K56*Lookups!AY$23)</f>
        <v>#N/A</v>
      </c>
      <c r="P56" s="315">
        <f>IF(H56="Y",Inputs!M56*L56,0)</f>
        <v>0</v>
      </c>
      <c r="Q56" s="315">
        <f>(I56*Lookups!AW$23)+(J56*Lookups!AX$23)</f>
        <v>0</v>
      </c>
      <c r="R56" s="315">
        <f t="shared" si="2"/>
        <v>0</v>
      </c>
      <c r="S56" s="315" t="e">
        <f t="shared" si="3"/>
        <v>#N/A</v>
      </c>
    </row>
    <row r="57" spans="1:19" x14ac:dyDescent="0.2">
      <c r="A57" s="335">
        <f>Inputs!A57</f>
        <v>0</v>
      </c>
      <c r="B57" s="307">
        <f>Inputs!B57</f>
        <v>0</v>
      </c>
      <c r="C57" s="101">
        <f>Inputs!C57</f>
        <v>0</v>
      </c>
      <c r="D57" s="101">
        <f>Inputs!E57</f>
        <v>0</v>
      </c>
      <c r="E57" s="293">
        <f>Inputs!F57</f>
        <v>0</v>
      </c>
      <c r="F57" s="100">
        <f>IF(Inputs!N57&lt;(Inputs!K57*12),Inputs!N57/12,Inputs!K57)</f>
        <v>0</v>
      </c>
      <c r="G57" s="293">
        <f>IF(Inputs!N57&lt;(Inputs!K57*12),0,(Inputs!N57/12)-Inputs!K57)</f>
        <v>0</v>
      </c>
      <c r="H57" s="100" t="str">
        <f>IF(Inputs!F57="Plug Pile Wall","Y","N")</f>
        <v>N</v>
      </c>
      <c r="I57" s="101">
        <f>IF(Inputs!F57="Precast Lagging",Inputs!M57,0)</f>
        <v>0</v>
      </c>
      <c r="J57" s="101">
        <f>IF(Inputs!F57="Timber Lagging",Inputs!M57,0)</f>
        <v>0</v>
      </c>
      <c r="K57" s="293">
        <f>Inputs!G57</f>
        <v>0</v>
      </c>
      <c r="L57" s="305" t="e">
        <f>LOOKUP(C57,Lookups!AU$5:AU$18,Lookups!AY$5:AY$18)</f>
        <v>#N/A</v>
      </c>
      <c r="M57" s="303" t="e">
        <f>LOOKUP(C57,Lookups!AU$5:AU$18,Lookups!AZ$5:AZ$18)</f>
        <v>#N/A</v>
      </c>
      <c r="N57" s="303" t="e">
        <f>LOOKUP(B57,Lookups!A$5:A$265,Lookups!J$5:J$265)*1.25</f>
        <v>#N/A</v>
      </c>
      <c r="O57" s="300" t="e">
        <f>(F57*L57)+(G57*M57)+((F57+G57)*N57)+(K57*Lookups!AY$23)</f>
        <v>#N/A</v>
      </c>
      <c r="P57" s="315">
        <f>IF(H57="Y",Inputs!M57*L57,0)</f>
        <v>0</v>
      </c>
      <c r="Q57" s="315">
        <f>(I57*Lookups!AW$23)+(J57*Lookups!AX$23)</f>
        <v>0</v>
      </c>
      <c r="R57" s="315">
        <f t="shared" si="2"/>
        <v>0</v>
      </c>
      <c r="S57" s="315" t="e">
        <f t="shared" si="3"/>
        <v>#N/A</v>
      </c>
    </row>
    <row r="58" spans="1:19" x14ac:dyDescent="0.2">
      <c r="A58" s="335">
        <f>Inputs!A58</f>
        <v>0</v>
      </c>
      <c r="B58" s="307">
        <f>Inputs!B58</f>
        <v>0</v>
      </c>
      <c r="C58" s="101">
        <f>Inputs!C58</f>
        <v>0</v>
      </c>
      <c r="D58" s="101">
        <f>Inputs!E58</f>
        <v>0</v>
      </c>
      <c r="E58" s="293">
        <f>Inputs!F58</f>
        <v>0</v>
      </c>
      <c r="F58" s="100">
        <f>IF(Inputs!N58&lt;(Inputs!K58*12),Inputs!N58/12,Inputs!K58)</f>
        <v>0</v>
      </c>
      <c r="G58" s="293">
        <f>IF(Inputs!N58&lt;(Inputs!K58*12),0,(Inputs!N58/12)-Inputs!K58)</f>
        <v>0</v>
      </c>
      <c r="H58" s="100" t="str">
        <f>IF(Inputs!F58="Plug Pile Wall","Y","N")</f>
        <v>N</v>
      </c>
      <c r="I58" s="101">
        <f>IF(Inputs!F58="Precast Lagging",Inputs!M58,0)</f>
        <v>0</v>
      </c>
      <c r="J58" s="101">
        <f>IF(Inputs!F58="Timber Lagging",Inputs!M58,0)</f>
        <v>0</v>
      </c>
      <c r="K58" s="293">
        <f>Inputs!G58</f>
        <v>0</v>
      </c>
      <c r="L58" s="305" t="e">
        <f>LOOKUP(C58,Lookups!AU$5:AU$18,Lookups!AY$5:AY$18)</f>
        <v>#N/A</v>
      </c>
      <c r="M58" s="303" t="e">
        <f>LOOKUP(C58,Lookups!AU$5:AU$18,Lookups!AZ$5:AZ$18)</f>
        <v>#N/A</v>
      </c>
      <c r="N58" s="303" t="e">
        <f>LOOKUP(B58,Lookups!A$5:A$265,Lookups!J$5:J$265)*1.25</f>
        <v>#N/A</v>
      </c>
      <c r="O58" s="300" t="e">
        <f>(F58*L58)+(G58*M58)+((F58+G58)*N58)+(K58*Lookups!AY$23)</f>
        <v>#N/A</v>
      </c>
      <c r="P58" s="315">
        <f>IF(H58="Y",Inputs!M58*L58,0)</f>
        <v>0</v>
      </c>
      <c r="Q58" s="315">
        <f>(I58*Lookups!AW$23)+(J58*Lookups!AX$23)</f>
        <v>0</v>
      </c>
      <c r="R58" s="315">
        <f t="shared" si="2"/>
        <v>0</v>
      </c>
      <c r="S58" s="315" t="e">
        <f t="shared" si="3"/>
        <v>#N/A</v>
      </c>
    </row>
    <row r="59" spans="1:19" x14ac:dyDescent="0.2">
      <c r="A59" s="335">
        <f>Inputs!A59</f>
        <v>0</v>
      </c>
      <c r="B59" s="307">
        <f>Inputs!B59</f>
        <v>0</v>
      </c>
      <c r="C59" s="101">
        <f>Inputs!C59</f>
        <v>0</v>
      </c>
      <c r="D59" s="101">
        <f>Inputs!E59</f>
        <v>0</v>
      </c>
      <c r="E59" s="293">
        <f>Inputs!F59</f>
        <v>0</v>
      </c>
      <c r="F59" s="100">
        <f>IF(Inputs!N59&lt;(Inputs!K59*12),Inputs!N59/12,Inputs!K59)</f>
        <v>0</v>
      </c>
      <c r="G59" s="293">
        <f>IF(Inputs!N59&lt;(Inputs!K59*12),0,(Inputs!N59/12)-Inputs!K59)</f>
        <v>0</v>
      </c>
      <c r="H59" s="100" t="str">
        <f>IF(Inputs!F59="Plug Pile Wall","Y","N")</f>
        <v>N</v>
      </c>
      <c r="I59" s="101">
        <f>IF(Inputs!F59="Precast Lagging",Inputs!M59,0)</f>
        <v>0</v>
      </c>
      <c r="J59" s="101">
        <f>IF(Inputs!F59="Timber Lagging",Inputs!M59,0)</f>
        <v>0</v>
      </c>
      <c r="K59" s="293">
        <f>Inputs!G59</f>
        <v>0</v>
      </c>
      <c r="L59" s="305" t="e">
        <f>LOOKUP(C59,Lookups!AU$5:AU$18,Lookups!AY$5:AY$18)</f>
        <v>#N/A</v>
      </c>
      <c r="M59" s="303" t="e">
        <f>LOOKUP(C59,Lookups!AU$5:AU$18,Lookups!AZ$5:AZ$18)</f>
        <v>#N/A</v>
      </c>
      <c r="N59" s="303" t="e">
        <f>LOOKUP(B59,Lookups!A$5:A$265,Lookups!J$5:J$265)*1.25</f>
        <v>#N/A</v>
      </c>
      <c r="O59" s="300" t="e">
        <f>(F59*L59)+(G59*M59)+((F59+G59)*N59)+(K59*Lookups!AY$23)</f>
        <v>#N/A</v>
      </c>
      <c r="P59" s="315">
        <f>IF(H59="Y",Inputs!M59*L59,0)</f>
        <v>0</v>
      </c>
      <c r="Q59" s="315">
        <f>(I59*Lookups!AW$23)+(J59*Lookups!AX$23)</f>
        <v>0</v>
      </c>
      <c r="R59" s="315">
        <f t="shared" si="2"/>
        <v>0</v>
      </c>
      <c r="S59" s="315" t="e">
        <f t="shared" si="3"/>
        <v>#N/A</v>
      </c>
    </row>
    <row r="60" spans="1:19" x14ac:dyDescent="0.2">
      <c r="A60" s="335">
        <f>Inputs!A60</f>
        <v>0</v>
      </c>
      <c r="B60" s="307">
        <f>Inputs!B60</f>
        <v>0</v>
      </c>
      <c r="C60" s="101">
        <f>Inputs!C60</f>
        <v>0</v>
      </c>
      <c r="D60" s="101">
        <f>Inputs!E60</f>
        <v>0</v>
      </c>
      <c r="E60" s="293">
        <f>Inputs!F60</f>
        <v>0</v>
      </c>
      <c r="F60" s="100">
        <f>IF(Inputs!N60&lt;(Inputs!K60*12),Inputs!N60/12,Inputs!K60)</f>
        <v>0</v>
      </c>
      <c r="G60" s="293">
        <f>IF(Inputs!N60&lt;(Inputs!K60*12),0,(Inputs!N60/12)-Inputs!K60)</f>
        <v>0</v>
      </c>
      <c r="H60" s="100" t="str">
        <f>IF(Inputs!F60="Plug Pile Wall","Y","N")</f>
        <v>N</v>
      </c>
      <c r="I60" s="101">
        <f>IF(Inputs!F60="Precast Lagging",Inputs!M60,0)</f>
        <v>0</v>
      </c>
      <c r="J60" s="101">
        <f>IF(Inputs!F60="Timber Lagging",Inputs!M60,0)</f>
        <v>0</v>
      </c>
      <c r="K60" s="293">
        <f>Inputs!G60</f>
        <v>0</v>
      </c>
      <c r="L60" s="305" t="e">
        <f>LOOKUP(C60,Lookups!AU$5:AU$18,Lookups!AY$5:AY$18)</f>
        <v>#N/A</v>
      </c>
      <c r="M60" s="303" t="e">
        <f>LOOKUP(C60,Lookups!AU$5:AU$18,Lookups!AZ$5:AZ$18)</f>
        <v>#N/A</v>
      </c>
      <c r="N60" s="303" t="e">
        <f>LOOKUP(B60,Lookups!A$5:A$265,Lookups!J$5:J$265)*1.25</f>
        <v>#N/A</v>
      </c>
      <c r="O60" s="300" t="e">
        <f>(F60*L60)+(G60*M60)+((F60+G60)*N60)+(K60*Lookups!AY$23)</f>
        <v>#N/A</v>
      </c>
      <c r="P60" s="315">
        <f>IF(H60="Y",Inputs!M60*L60,0)</f>
        <v>0</v>
      </c>
      <c r="Q60" s="315">
        <f>(I60*Lookups!AW$23)+(J60*Lookups!AX$23)</f>
        <v>0</v>
      </c>
      <c r="R60" s="315">
        <f t="shared" si="2"/>
        <v>0</v>
      </c>
      <c r="S60" s="315" t="e">
        <f t="shared" si="3"/>
        <v>#N/A</v>
      </c>
    </row>
    <row r="61" spans="1:19" x14ac:dyDescent="0.2">
      <c r="A61" s="335">
        <f>Inputs!A61</f>
        <v>0</v>
      </c>
      <c r="B61" s="307">
        <f>Inputs!B61</f>
        <v>0</v>
      </c>
      <c r="C61" s="101">
        <f>Inputs!C61</f>
        <v>0</v>
      </c>
      <c r="D61" s="101">
        <f>Inputs!E61</f>
        <v>0</v>
      </c>
      <c r="E61" s="293">
        <f>Inputs!F61</f>
        <v>0</v>
      </c>
      <c r="F61" s="100">
        <f>IF(Inputs!N61&lt;(Inputs!K61*12),Inputs!N61/12,Inputs!K61)</f>
        <v>0</v>
      </c>
      <c r="G61" s="293">
        <f>IF(Inputs!N61&lt;(Inputs!K61*12),0,(Inputs!N61/12)-Inputs!K61)</f>
        <v>0</v>
      </c>
      <c r="H61" s="100" t="str">
        <f>IF(Inputs!F61="Plug Pile Wall","Y","N")</f>
        <v>N</v>
      </c>
      <c r="I61" s="101">
        <f>IF(Inputs!F61="Precast Lagging",Inputs!M61,0)</f>
        <v>0</v>
      </c>
      <c r="J61" s="101">
        <f>IF(Inputs!F61="Timber Lagging",Inputs!M61,0)</f>
        <v>0</v>
      </c>
      <c r="K61" s="293">
        <f>Inputs!G61</f>
        <v>0</v>
      </c>
      <c r="L61" s="305" t="e">
        <f>LOOKUP(C61,Lookups!AU$5:AU$18,Lookups!AY$5:AY$18)</f>
        <v>#N/A</v>
      </c>
      <c r="M61" s="303" t="e">
        <f>LOOKUP(C61,Lookups!AU$5:AU$18,Lookups!AZ$5:AZ$18)</f>
        <v>#N/A</v>
      </c>
      <c r="N61" s="303" t="e">
        <f>LOOKUP(B61,Lookups!A$5:A$265,Lookups!J$5:J$265)*1.25</f>
        <v>#N/A</v>
      </c>
      <c r="O61" s="300" t="e">
        <f>(F61*L61)+(G61*M61)+((F61+G61)*N61)+(K61*Lookups!AY$23)</f>
        <v>#N/A</v>
      </c>
      <c r="P61" s="315">
        <f>IF(H61="Y",Inputs!M61*L61,0)</f>
        <v>0</v>
      </c>
      <c r="Q61" s="315">
        <f>(I61*Lookups!AW$23)+(J61*Lookups!AX$23)</f>
        <v>0</v>
      </c>
      <c r="R61" s="315">
        <f t="shared" si="2"/>
        <v>0</v>
      </c>
      <c r="S61" s="315" t="e">
        <f t="shared" si="3"/>
        <v>#N/A</v>
      </c>
    </row>
    <row r="62" spans="1:19" x14ac:dyDescent="0.2">
      <c r="A62" s="335">
        <f>Inputs!A62</f>
        <v>0</v>
      </c>
      <c r="B62" s="307">
        <f>Inputs!B62</f>
        <v>0</v>
      </c>
      <c r="C62" s="101">
        <f>Inputs!C62</f>
        <v>0</v>
      </c>
      <c r="D62" s="101">
        <f>Inputs!E62</f>
        <v>0</v>
      </c>
      <c r="E62" s="293">
        <f>Inputs!F62</f>
        <v>0</v>
      </c>
      <c r="F62" s="100">
        <f>IF(Inputs!N62&lt;(Inputs!K62*12),Inputs!N62/12,Inputs!K62)</f>
        <v>0</v>
      </c>
      <c r="G62" s="293">
        <f>IF(Inputs!N62&lt;(Inputs!K62*12),0,(Inputs!N62/12)-Inputs!K62)</f>
        <v>0</v>
      </c>
      <c r="H62" s="100" t="str">
        <f>IF(Inputs!F62="Plug Pile Wall","Y","N")</f>
        <v>N</v>
      </c>
      <c r="I62" s="101">
        <f>IF(Inputs!F62="Precast Lagging",Inputs!M62,0)</f>
        <v>0</v>
      </c>
      <c r="J62" s="101">
        <f>IF(Inputs!F62="Timber Lagging",Inputs!M62,0)</f>
        <v>0</v>
      </c>
      <c r="K62" s="293">
        <f>Inputs!G62</f>
        <v>0</v>
      </c>
      <c r="L62" s="305" t="e">
        <f>LOOKUP(C62,Lookups!AU$5:AU$18,Lookups!AY$5:AY$18)</f>
        <v>#N/A</v>
      </c>
      <c r="M62" s="303" t="e">
        <f>LOOKUP(C62,Lookups!AU$5:AU$18,Lookups!AZ$5:AZ$18)</f>
        <v>#N/A</v>
      </c>
      <c r="N62" s="303" t="e">
        <f>LOOKUP(B62,Lookups!A$5:A$265,Lookups!J$5:J$265)*1.25</f>
        <v>#N/A</v>
      </c>
      <c r="O62" s="300" t="e">
        <f>(F62*L62)+(G62*M62)+((F62+G62)*N62)+(K62*Lookups!AY$23)</f>
        <v>#N/A</v>
      </c>
      <c r="P62" s="315">
        <f>IF(H62="Y",Inputs!M62*L62,0)</f>
        <v>0</v>
      </c>
      <c r="Q62" s="315">
        <f>(I62*Lookups!AW$23)+(J62*Lookups!AX$23)</f>
        <v>0</v>
      </c>
      <c r="R62" s="315">
        <f t="shared" si="2"/>
        <v>0</v>
      </c>
      <c r="S62" s="315" t="e">
        <f t="shared" si="3"/>
        <v>#N/A</v>
      </c>
    </row>
    <row r="63" spans="1:19" x14ac:dyDescent="0.2">
      <c r="A63" s="335">
        <f>Inputs!A63</f>
        <v>0</v>
      </c>
      <c r="B63" s="307">
        <f>Inputs!B63</f>
        <v>0</v>
      </c>
      <c r="C63" s="101">
        <f>Inputs!C63</f>
        <v>0</v>
      </c>
      <c r="D63" s="101">
        <f>Inputs!E63</f>
        <v>0</v>
      </c>
      <c r="E63" s="293">
        <f>Inputs!F63</f>
        <v>0</v>
      </c>
      <c r="F63" s="100">
        <f>IF(Inputs!N63&lt;(Inputs!K63*12),Inputs!N63/12,Inputs!K63)</f>
        <v>0</v>
      </c>
      <c r="G63" s="293">
        <f>IF(Inputs!N63&lt;(Inputs!K63*12),0,(Inputs!N63/12)-Inputs!K63)</f>
        <v>0</v>
      </c>
      <c r="H63" s="100" t="str">
        <f>IF(Inputs!F63="Plug Pile Wall","Y","N")</f>
        <v>N</v>
      </c>
      <c r="I63" s="101">
        <f>IF(Inputs!F63="Precast Lagging",Inputs!M63,0)</f>
        <v>0</v>
      </c>
      <c r="J63" s="101">
        <f>IF(Inputs!F63="Timber Lagging",Inputs!M63,0)</f>
        <v>0</v>
      </c>
      <c r="K63" s="293">
        <f>Inputs!G63</f>
        <v>0</v>
      </c>
      <c r="L63" s="305" t="e">
        <f>LOOKUP(C63,Lookups!AU$5:AU$18,Lookups!AY$5:AY$18)</f>
        <v>#N/A</v>
      </c>
      <c r="M63" s="303" t="e">
        <f>LOOKUP(C63,Lookups!AU$5:AU$18,Lookups!AZ$5:AZ$18)</f>
        <v>#N/A</v>
      </c>
      <c r="N63" s="303" t="e">
        <f>LOOKUP(B63,Lookups!A$5:A$265,Lookups!J$5:J$265)*1.25</f>
        <v>#N/A</v>
      </c>
      <c r="O63" s="300" t="e">
        <f>(F63*L63)+(G63*M63)+((F63+G63)*N63)+(K63*Lookups!AY$23)</f>
        <v>#N/A</v>
      </c>
      <c r="P63" s="315">
        <f>IF(H63="Y",Inputs!M63*L63,0)</f>
        <v>0</v>
      </c>
      <c r="Q63" s="315">
        <f>(I63*Lookups!AW$23)+(J63*Lookups!AX$23)</f>
        <v>0</v>
      </c>
      <c r="R63" s="315">
        <f t="shared" si="2"/>
        <v>0</v>
      </c>
      <c r="S63" s="315" t="e">
        <f t="shared" si="3"/>
        <v>#N/A</v>
      </c>
    </row>
    <row r="64" spans="1:19" x14ac:dyDescent="0.2">
      <c r="A64" s="335">
        <f>Inputs!A64</f>
        <v>0</v>
      </c>
      <c r="B64" s="307">
        <f>Inputs!B64</f>
        <v>0</v>
      </c>
      <c r="C64" s="101">
        <f>Inputs!C64</f>
        <v>0</v>
      </c>
      <c r="D64" s="101">
        <f>Inputs!E64</f>
        <v>0</v>
      </c>
      <c r="E64" s="293">
        <f>Inputs!F64</f>
        <v>0</v>
      </c>
      <c r="F64" s="100">
        <f>IF(Inputs!N64&lt;(Inputs!K64*12),Inputs!N64/12,Inputs!K64)</f>
        <v>0</v>
      </c>
      <c r="G64" s="293">
        <f>IF(Inputs!N64&lt;(Inputs!K64*12),0,(Inputs!N64/12)-Inputs!K64)</f>
        <v>0</v>
      </c>
      <c r="H64" s="100" t="str">
        <f>IF(Inputs!F64="Plug Pile Wall","Y","N")</f>
        <v>N</v>
      </c>
      <c r="I64" s="101">
        <f>IF(Inputs!F64="Precast Lagging",Inputs!M64,0)</f>
        <v>0</v>
      </c>
      <c r="J64" s="101">
        <f>IF(Inputs!F64="Timber Lagging",Inputs!M64,0)</f>
        <v>0</v>
      </c>
      <c r="K64" s="293">
        <f>Inputs!G64</f>
        <v>0</v>
      </c>
      <c r="L64" s="305" t="e">
        <f>LOOKUP(C64,Lookups!AU$5:AU$18,Lookups!AY$5:AY$18)</f>
        <v>#N/A</v>
      </c>
      <c r="M64" s="303" t="e">
        <f>LOOKUP(C64,Lookups!AU$5:AU$18,Lookups!AZ$5:AZ$18)</f>
        <v>#N/A</v>
      </c>
      <c r="N64" s="303" t="e">
        <f>LOOKUP(B64,Lookups!A$5:A$265,Lookups!J$5:J$265)*1.25</f>
        <v>#N/A</v>
      </c>
      <c r="O64" s="300" t="e">
        <f>(F64*L64)+(G64*M64)+((F64+G64)*N64)+(K64*Lookups!AY$23)</f>
        <v>#N/A</v>
      </c>
      <c r="P64" s="315">
        <f>IF(H64="Y",Inputs!M64*L64,0)</f>
        <v>0</v>
      </c>
      <c r="Q64" s="315">
        <f>(I64*Lookups!AW$23)+(J64*Lookups!AX$23)</f>
        <v>0</v>
      </c>
      <c r="R64" s="315">
        <f t="shared" si="2"/>
        <v>0</v>
      </c>
      <c r="S64" s="315" t="e">
        <f t="shared" si="3"/>
        <v>#N/A</v>
      </c>
    </row>
    <row r="65" spans="1:19" x14ac:dyDescent="0.2">
      <c r="A65" s="335">
        <f>Inputs!A65</f>
        <v>0</v>
      </c>
      <c r="B65" s="307">
        <f>Inputs!B65</f>
        <v>0</v>
      </c>
      <c r="C65" s="101">
        <f>Inputs!C65</f>
        <v>0</v>
      </c>
      <c r="D65" s="101">
        <f>Inputs!E65</f>
        <v>0</v>
      </c>
      <c r="E65" s="293">
        <f>Inputs!F65</f>
        <v>0</v>
      </c>
      <c r="F65" s="100">
        <f>IF(Inputs!N65&lt;(Inputs!K65*12),Inputs!N65/12,Inputs!K65)</f>
        <v>0</v>
      </c>
      <c r="G65" s="293">
        <f>IF(Inputs!N65&lt;(Inputs!K65*12),0,(Inputs!N65/12)-Inputs!K65)</f>
        <v>0</v>
      </c>
      <c r="H65" s="100" t="str">
        <f>IF(Inputs!F65="Plug Pile Wall","Y","N")</f>
        <v>N</v>
      </c>
      <c r="I65" s="101">
        <f>IF(Inputs!F65="Precast Lagging",Inputs!M65,0)</f>
        <v>0</v>
      </c>
      <c r="J65" s="101">
        <f>IF(Inputs!F65="Timber Lagging",Inputs!M65,0)</f>
        <v>0</v>
      </c>
      <c r="K65" s="293">
        <f>Inputs!G65</f>
        <v>0</v>
      </c>
      <c r="L65" s="305" t="e">
        <f>LOOKUP(C65,Lookups!AU$5:AU$18,Lookups!AY$5:AY$18)</f>
        <v>#N/A</v>
      </c>
      <c r="M65" s="303" t="e">
        <f>LOOKUP(C65,Lookups!AU$5:AU$18,Lookups!AZ$5:AZ$18)</f>
        <v>#N/A</v>
      </c>
      <c r="N65" s="303" t="e">
        <f>LOOKUP(B65,Lookups!A$5:A$265,Lookups!J$5:J$265)*1.25</f>
        <v>#N/A</v>
      </c>
      <c r="O65" s="300" t="e">
        <f>(F65*L65)+(G65*M65)+((F65+G65)*N65)+(K65*Lookups!AY$23)</f>
        <v>#N/A</v>
      </c>
      <c r="P65" s="315">
        <f>IF(H65="Y",Inputs!M65*L65,0)</f>
        <v>0</v>
      </c>
      <c r="Q65" s="315">
        <f>(I65*Lookups!AW$23)+(J65*Lookups!AX$23)</f>
        <v>0</v>
      </c>
      <c r="R65" s="315">
        <f t="shared" si="2"/>
        <v>0</v>
      </c>
      <c r="S65" s="315" t="e">
        <f t="shared" si="3"/>
        <v>#N/A</v>
      </c>
    </row>
    <row r="66" spans="1:19" x14ac:dyDescent="0.2">
      <c r="A66" s="335">
        <f>Inputs!A66</f>
        <v>0</v>
      </c>
      <c r="B66" s="307">
        <f>Inputs!B66</f>
        <v>0</v>
      </c>
      <c r="C66" s="101">
        <f>Inputs!C66</f>
        <v>0</v>
      </c>
      <c r="D66" s="101">
        <f>Inputs!E66</f>
        <v>0</v>
      </c>
      <c r="E66" s="293">
        <f>Inputs!F66</f>
        <v>0</v>
      </c>
      <c r="F66" s="100">
        <f>IF(Inputs!N66&lt;(Inputs!K66*12),Inputs!N66/12,Inputs!K66)</f>
        <v>0</v>
      </c>
      <c r="G66" s="293">
        <f>IF(Inputs!N66&lt;(Inputs!K66*12),0,(Inputs!N66/12)-Inputs!K66)</f>
        <v>0</v>
      </c>
      <c r="H66" s="100" t="str">
        <f>IF(Inputs!F66="Plug Pile Wall","Y","N")</f>
        <v>N</v>
      </c>
      <c r="I66" s="101">
        <f>IF(Inputs!F66="Precast Lagging",Inputs!M66,0)</f>
        <v>0</v>
      </c>
      <c r="J66" s="101">
        <f>IF(Inputs!F66="Timber Lagging",Inputs!M66,0)</f>
        <v>0</v>
      </c>
      <c r="K66" s="293">
        <f>Inputs!G66</f>
        <v>0</v>
      </c>
      <c r="L66" s="305" t="e">
        <f>LOOKUP(C66,Lookups!AU$5:AU$18,Lookups!AY$5:AY$18)</f>
        <v>#N/A</v>
      </c>
      <c r="M66" s="303" t="e">
        <f>LOOKUP(C66,Lookups!AU$5:AU$18,Lookups!AZ$5:AZ$18)</f>
        <v>#N/A</v>
      </c>
      <c r="N66" s="303" t="e">
        <f>LOOKUP(B66,Lookups!A$5:A$265,Lookups!J$5:J$265)*1.25</f>
        <v>#N/A</v>
      </c>
      <c r="O66" s="300" t="e">
        <f>(F66*L66)+(G66*M66)+((F66+G66)*N66)+(K66*Lookups!AY$23)</f>
        <v>#N/A</v>
      </c>
      <c r="P66" s="315">
        <f>IF(H66="Y",Inputs!M66*L66,0)</f>
        <v>0</v>
      </c>
      <c r="Q66" s="315">
        <f>(I66*Lookups!AW$23)+(J66*Lookups!AX$23)</f>
        <v>0</v>
      </c>
      <c r="R66" s="315">
        <f t="shared" si="2"/>
        <v>0</v>
      </c>
      <c r="S66" s="315" t="e">
        <f t="shared" si="3"/>
        <v>#N/A</v>
      </c>
    </row>
    <row r="67" spans="1:19" x14ac:dyDescent="0.2">
      <c r="A67" s="335">
        <f>Inputs!A67</f>
        <v>0</v>
      </c>
      <c r="B67" s="307">
        <f>Inputs!B67</f>
        <v>0</v>
      </c>
      <c r="C67" s="101">
        <f>Inputs!C67</f>
        <v>0</v>
      </c>
      <c r="D67" s="101">
        <f>Inputs!E67</f>
        <v>0</v>
      </c>
      <c r="E67" s="293">
        <f>Inputs!F67</f>
        <v>0</v>
      </c>
      <c r="F67" s="100">
        <f>IF(Inputs!N67&lt;(Inputs!K67*12),Inputs!N67/12,Inputs!K67)</f>
        <v>0</v>
      </c>
      <c r="G67" s="293">
        <f>IF(Inputs!N67&lt;(Inputs!K67*12),0,(Inputs!N67/12)-Inputs!K67)</f>
        <v>0</v>
      </c>
      <c r="H67" s="100" t="str">
        <f>IF(Inputs!F67="Plug Pile Wall","Y","N")</f>
        <v>N</v>
      </c>
      <c r="I67" s="101">
        <f>IF(Inputs!F67="Precast Lagging",Inputs!M67,0)</f>
        <v>0</v>
      </c>
      <c r="J67" s="101">
        <f>IF(Inputs!F67="Timber Lagging",Inputs!M67,0)</f>
        <v>0</v>
      </c>
      <c r="K67" s="293">
        <f>Inputs!G67</f>
        <v>0</v>
      </c>
      <c r="L67" s="305" t="e">
        <f>LOOKUP(C67,Lookups!AU$5:AU$18,Lookups!AY$5:AY$18)</f>
        <v>#N/A</v>
      </c>
      <c r="M67" s="303" t="e">
        <f>LOOKUP(C67,Lookups!AU$5:AU$18,Lookups!AZ$5:AZ$18)</f>
        <v>#N/A</v>
      </c>
      <c r="N67" s="303" t="e">
        <f>LOOKUP(B67,Lookups!A$5:A$265,Lookups!J$5:J$265)*1.25</f>
        <v>#N/A</v>
      </c>
      <c r="O67" s="300" t="e">
        <f>(F67*L67)+(G67*M67)+((F67+G67)*N67)+(K67*Lookups!AY$23)</f>
        <v>#N/A</v>
      </c>
      <c r="P67" s="315">
        <f>IF(H67="Y",Inputs!M67*L67,0)</f>
        <v>0</v>
      </c>
      <c r="Q67" s="315">
        <f>(I67*Lookups!AW$23)+(J67*Lookups!AX$23)</f>
        <v>0</v>
      </c>
      <c r="R67" s="315">
        <f t="shared" si="2"/>
        <v>0</v>
      </c>
      <c r="S67" s="315" t="e">
        <f t="shared" si="3"/>
        <v>#N/A</v>
      </c>
    </row>
    <row r="68" spans="1:19" x14ac:dyDescent="0.2">
      <c r="A68" s="335">
        <f>Inputs!A68</f>
        <v>0</v>
      </c>
      <c r="B68" s="307">
        <f>Inputs!B68</f>
        <v>0</v>
      </c>
      <c r="C68" s="101">
        <f>Inputs!C68</f>
        <v>0</v>
      </c>
      <c r="D68" s="101">
        <f>Inputs!E68</f>
        <v>0</v>
      </c>
      <c r="E68" s="293">
        <f>Inputs!F68</f>
        <v>0</v>
      </c>
      <c r="F68" s="100">
        <f>IF(Inputs!N68&lt;(Inputs!K68*12),Inputs!N68/12,Inputs!K68)</f>
        <v>0</v>
      </c>
      <c r="G68" s="293">
        <f>IF(Inputs!N68&lt;(Inputs!K68*12),0,(Inputs!N68/12)-Inputs!K68)</f>
        <v>0</v>
      </c>
      <c r="H68" s="100" t="str">
        <f>IF(Inputs!F68="Plug Pile Wall","Y","N")</f>
        <v>N</v>
      </c>
      <c r="I68" s="101">
        <f>IF(Inputs!F68="Precast Lagging",Inputs!M68,0)</f>
        <v>0</v>
      </c>
      <c r="J68" s="101">
        <f>IF(Inputs!F68="Timber Lagging",Inputs!M68,0)</f>
        <v>0</v>
      </c>
      <c r="K68" s="293">
        <f>Inputs!G68</f>
        <v>0</v>
      </c>
      <c r="L68" s="305" t="e">
        <f>LOOKUP(C68,Lookups!AU$5:AU$18,Lookups!AY$5:AY$18)</f>
        <v>#N/A</v>
      </c>
      <c r="M68" s="303" t="e">
        <f>LOOKUP(C68,Lookups!AU$5:AU$18,Lookups!AZ$5:AZ$18)</f>
        <v>#N/A</v>
      </c>
      <c r="N68" s="303" t="e">
        <f>LOOKUP(B68,Lookups!A$5:A$265,Lookups!J$5:J$265)*1.25</f>
        <v>#N/A</v>
      </c>
      <c r="O68" s="300" t="e">
        <f>(F68*L68)+(G68*M68)+((F68+G68)*N68)+(K68*Lookups!AY$23)</f>
        <v>#N/A</v>
      </c>
      <c r="P68" s="315">
        <f>IF(H68="Y",Inputs!M68*L68,0)</f>
        <v>0</v>
      </c>
      <c r="Q68" s="315">
        <f>(I68*Lookups!AW$23)+(J68*Lookups!AX$23)</f>
        <v>0</v>
      </c>
      <c r="R68" s="315">
        <f t="shared" si="2"/>
        <v>0</v>
      </c>
      <c r="S68" s="315" t="e">
        <f t="shared" si="3"/>
        <v>#N/A</v>
      </c>
    </row>
    <row r="69" spans="1:19" x14ac:dyDescent="0.2">
      <c r="A69" s="335">
        <f>Inputs!A69</f>
        <v>0</v>
      </c>
      <c r="B69" s="307">
        <f>Inputs!B69</f>
        <v>0</v>
      </c>
      <c r="C69" s="101">
        <f>Inputs!C69</f>
        <v>0</v>
      </c>
      <c r="D69" s="101">
        <f>Inputs!E69</f>
        <v>0</v>
      </c>
      <c r="E69" s="293">
        <f>Inputs!F69</f>
        <v>0</v>
      </c>
      <c r="F69" s="100">
        <f>IF(Inputs!N69&lt;(Inputs!K69*12),Inputs!N69/12,Inputs!K69)</f>
        <v>0</v>
      </c>
      <c r="G69" s="293">
        <f>IF(Inputs!N69&lt;(Inputs!K69*12),0,(Inputs!N69/12)-Inputs!K69)</f>
        <v>0</v>
      </c>
      <c r="H69" s="100" t="str">
        <f>IF(Inputs!F69="Plug Pile Wall","Y","N")</f>
        <v>N</v>
      </c>
      <c r="I69" s="101">
        <f>IF(Inputs!F69="Precast Lagging",Inputs!M69,0)</f>
        <v>0</v>
      </c>
      <c r="J69" s="101">
        <f>IF(Inputs!F69="Timber Lagging",Inputs!M69,0)</f>
        <v>0</v>
      </c>
      <c r="K69" s="293">
        <f>Inputs!G69</f>
        <v>0</v>
      </c>
      <c r="L69" s="305" t="e">
        <f>LOOKUP(C69,Lookups!AU$5:AU$18,Lookups!AY$5:AY$18)</f>
        <v>#N/A</v>
      </c>
      <c r="M69" s="303" t="e">
        <f>LOOKUP(C69,Lookups!AU$5:AU$18,Lookups!AZ$5:AZ$18)</f>
        <v>#N/A</v>
      </c>
      <c r="N69" s="303" t="e">
        <f>LOOKUP(B69,Lookups!A$5:A$265,Lookups!J$5:J$265)*1.25</f>
        <v>#N/A</v>
      </c>
      <c r="O69" s="300" t="e">
        <f>(F69*L69)+(G69*M69)+((F69+G69)*N69)+(K69*Lookups!AY$23)</f>
        <v>#N/A</v>
      </c>
      <c r="P69" s="315">
        <f>IF(H69="Y",Inputs!M69*L69,0)</f>
        <v>0</v>
      </c>
      <c r="Q69" s="315">
        <f>(I69*Lookups!AW$23)+(J69*Lookups!AX$23)</f>
        <v>0</v>
      </c>
      <c r="R69" s="315">
        <f t="shared" si="2"/>
        <v>0</v>
      </c>
      <c r="S69" s="315" t="e">
        <f t="shared" si="3"/>
        <v>#N/A</v>
      </c>
    </row>
    <row r="70" spans="1:19" x14ac:dyDescent="0.2">
      <c r="A70" s="335">
        <f>Inputs!A70</f>
        <v>0</v>
      </c>
      <c r="B70" s="307">
        <f>Inputs!B70</f>
        <v>0</v>
      </c>
      <c r="C70" s="101">
        <f>Inputs!C70</f>
        <v>0</v>
      </c>
      <c r="D70" s="101">
        <f>Inputs!E70</f>
        <v>0</v>
      </c>
      <c r="E70" s="293">
        <f>Inputs!F70</f>
        <v>0</v>
      </c>
      <c r="F70" s="100">
        <f>IF(Inputs!N70&lt;(Inputs!K70*12),Inputs!N70/12,Inputs!K70)</f>
        <v>0</v>
      </c>
      <c r="G70" s="293">
        <f>IF(Inputs!N70&lt;(Inputs!K70*12),0,(Inputs!N70/12)-Inputs!K70)</f>
        <v>0</v>
      </c>
      <c r="H70" s="100" t="str">
        <f>IF(Inputs!F70="Plug Pile Wall","Y","N")</f>
        <v>N</v>
      </c>
      <c r="I70" s="101">
        <f>IF(Inputs!F70="Precast Lagging",Inputs!M70,0)</f>
        <v>0</v>
      </c>
      <c r="J70" s="101">
        <f>IF(Inputs!F70="Timber Lagging",Inputs!M70,0)</f>
        <v>0</v>
      </c>
      <c r="K70" s="293">
        <f>Inputs!G70</f>
        <v>0</v>
      </c>
      <c r="L70" s="305" t="e">
        <f>LOOKUP(C70,Lookups!AU$5:AU$18,Lookups!AY$5:AY$18)</f>
        <v>#N/A</v>
      </c>
      <c r="M70" s="303" t="e">
        <f>LOOKUP(C70,Lookups!AU$5:AU$18,Lookups!AZ$5:AZ$18)</f>
        <v>#N/A</v>
      </c>
      <c r="N70" s="303" t="e">
        <f>LOOKUP(B70,Lookups!A$5:A$265,Lookups!J$5:J$265)*1.25</f>
        <v>#N/A</v>
      </c>
      <c r="O70" s="300" t="e">
        <f>(F70*L70)+(G70*M70)+((F70+G70)*N70)+(K70*Lookups!AY$23)</f>
        <v>#N/A</v>
      </c>
      <c r="P70" s="315">
        <f>IF(H70="Y",Inputs!M70*L70,0)</f>
        <v>0</v>
      </c>
      <c r="Q70" s="315">
        <f>(I70*Lookups!AW$23)+(J70*Lookups!AX$23)</f>
        <v>0</v>
      </c>
      <c r="R70" s="315">
        <f t="shared" si="2"/>
        <v>0</v>
      </c>
      <c r="S70" s="315" t="e">
        <f t="shared" si="3"/>
        <v>#N/A</v>
      </c>
    </row>
    <row r="71" spans="1:19" x14ac:dyDescent="0.2">
      <c r="A71" s="335">
        <f>Inputs!A71</f>
        <v>0</v>
      </c>
      <c r="B71" s="307">
        <f>Inputs!B71</f>
        <v>0</v>
      </c>
      <c r="C71" s="101">
        <f>Inputs!C71</f>
        <v>0</v>
      </c>
      <c r="D71" s="101">
        <f>Inputs!E71</f>
        <v>0</v>
      </c>
      <c r="E71" s="293">
        <f>Inputs!F71</f>
        <v>0</v>
      </c>
      <c r="F71" s="100">
        <f>IF(Inputs!N71&lt;(Inputs!K71*12),Inputs!N71/12,Inputs!K71)</f>
        <v>0</v>
      </c>
      <c r="G71" s="293">
        <f>IF(Inputs!N71&lt;(Inputs!K71*12),0,(Inputs!N71/12)-Inputs!K71)</f>
        <v>0</v>
      </c>
      <c r="H71" s="100" t="str">
        <f>IF(Inputs!F71="Plug Pile Wall","Y","N")</f>
        <v>N</v>
      </c>
      <c r="I71" s="101">
        <f>IF(Inputs!F71="Precast Lagging",Inputs!M71,0)</f>
        <v>0</v>
      </c>
      <c r="J71" s="101">
        <f>IF(Inputs!F71="Timber Lagging",Inputs!M71,0)</f>
        <v>0</v>
      </c>
      <c r="K71" s="293">
        <f>Inputs!G71</f>
        <v>0</v>
      </c>
      <c r="L71" s="305" t="e">
        <f>LOOKUP(C71,Lookups!AU$5:AU$18,Lookups!AY$5:AY$18)</f>
        <v>#N/A</v>
      </c>
      <c r="M71" s="303" t="e">
        <f>LOOKUP(C71,Lookups!AU$5:AU$18,Lookups!AZ$5:AZ$18)</f>
        <v>#N/A</v>
      </c>
      <c r="N71" s="303" t="e">
        <f>LOOKUP(B71,Lookups!A$5:A$265,Lookups!J$5:J$265)*1.25</f>
        <v>#N/A</v>
      </c>
      <c r="O71" s="300" t="e">
        <f>(F71*L71)+(G71*M71)+((F71+G71)*N71)+(K71*Lookups!AY$23)</f>
        <v>#N/A</v>
      </c>
      <c r="P71" s="315">
        <f>IF(H71="Y",Inputs!M71*L71,0)</f>
        <v>0</v>
      </c>
      <c r="Q71" s="315">
        <f>(I71*Lookups!AW$23)+(J71*Lookups!AX$23)</f>
        <v>0</v>
      </c>
      <c r="R71" s="315">
        <f t="shared" si="2"/>
        <v>0</v>
      </c>
      <c r="S71" s="315" t="e">
        <f t="shared" si="3"/>
        <v>#N/A</v>
      </c>
    </row>
    <row r="72" spans="1:19" x14ac:dyDescent="0.2">
      <c r="A72" s="335">
        <f>Inputs!A72</f>
        <v>0</v>
      </c>
      <c r="B72" s="307">
        <f>Inputs!B72</f>
        <v>0</v>
      </c>
      <c r="C72" s="101">
        <f>Inputs!C72</f>
        <v>0</v>
      </c>
      <c r="D72" s="101">
        <f>Inputs!E72</f>
        <v>0</v>
      </c>
      <c r="E72" s="293">
        <f>Inputs!F72</f>
        <v>0</v>
      </c>
      <c r="F72" s="100">
        <f>IF(Inputs!N72&lt;(Inputs!K72*12),Inputs!N72/12,Inputs!K72)</f>
        <v>0</v>
      </c>
      <c r="G72" s="293">
        <f>IF(Inputs!N72&lt;(Inputs!K72*12),0,(Inputs!N72/12)-Inputs!K72)</f>
        <v>0</v>
      </c>
      <c r="H72" s="100" t="str">
        <f>IF(Inputs!F72="Plug Pile Wall","Y","N")</f>
        <v>N</v>
      </c>
      <c r="I72" s="101">
        <f>IF(Inputs!F72="Precast Lagging",Inputs!M72,0)</f>
        <v>0</v>
      </c>
      <c r="J72" s="101">
        <f>IF(Inputs!F72="Timber Lagging",Inputs!M72,0)</f>
        <v>0</v>
      </c>
      <c r="K72" s="293">
        <f>Inputs!G72</f>
        <v>0</v>
      </c>
      <c r="L72" s="305" t="e">
        <f>LOOKUP(C72,Lookups!AU$5:AU$18,Lookups!AY$5:AY$18)</f>
        <v>#N/A</v>
      </c>
      <c r="M72" s="303" t="e">
        <f>LOOKUP(C72,Lookups!AU$5:AU$18,Lookups!AZ$5:AZ$18)</f>
        <v>#N/A</v>
      </c>
      <c r="N72" s="303" t="e">
        <f>LOOKUP(B72,Lookups!A$5:A$265,Lookups!J$5:J$265)*1.25</f>
        <v>#N/A</v>
      </c>
      <c r="O72" s="300" t="e">
        <f>(F72*L72)+(G72*M72)+((F72+G72)*N72)+(K72*Lookups!AY$23)</f>
        <v>#N/A</v>
      </c>
      <c r="P72" s="315">
        <f>IF(H72="Y",Inputs!M72*L72,0)</f>
        <v>0</v>
      </c>
      <c r="Q72" s="315">
        <f>(I72*Lookups!AW$23)+(J72*Lookups!AX$23)</f>
        <v>0</v>
      </c>
      <c r="R72" s="315">
        <f t="shared" si="2"/>
        <v>0</v>
      </c>
      <c r="S72" s="315" t="e">
        <f t="shared" si="3"/>
        <v>#N/A</v>
      </c>
    </row>
    <row r="73" spans="1:19" x14ac:dyDescent="0.2">
      <c r="A73" s="335">
        <f>Inputs!A73</f>
        <v>0</v>
      </c>
      <c r="B73" s="307">
        <f>Inputs!B73</f>
        <v>0</v>
      </c>
      <c r="C73" s="101">
        <f>Inputs!C73</f>
        <v>0</v>
      </c>
      <c r="D73" s="101">
        <f>Inputs!E73</f>
        <v>0</v>
      </c>
      <c r="E73" s="293">
        <f>Inputs!F73</f>
        <v>0</v>
      </c>
      <c r="F73" s="100">
        <f>IF(Inputs!N73&lt;(Inputs!K73*12),Inputs!N73/12,Inputs!K73)</f>
        <v>0</v>
      </c>
      <c r="G73" s="293">
        <f>IF(Inputs!N73&lt;(Inputs!K73*12),0,(Inputs!N73/12)-Inputs!K73)</f>
        <v>0</v>
      </c>
      <c r="H73" s="100" t="str">
        <f>IF(Inputs!F73="Plug Pile Wall","Y","N")</f>
        <v>N</v>
      </c>
      <c r="I73" s="101">
        <f>IF(Inputs!F73="Precast Lagging",Inputs!M73,0)</f>
        <v>0</v>
      </c>
      <c r="J73" s="101">
        <f>IF(Inputs!F73="Timber Lagging",Inputs!M73,0)</f>
        <v>0</v>
      </c>
      <c r="K73" s="293">
        <f>Inputs!G73</f>
        <v>0</v>
      </c>
      <c r="L73" s="305" t="e">
        <f>LOOKUP(C73,Lookups!AU$5:AU$18,Lookups!AY$5:AY$18)</f>
        <v>#N/A</v>
      </c>
      <c r="M73" s="303" t="e">
        <f>LOOKUP(C73,Lookups!AU$5:AU$18,Lookups!AZ$5:AZ$18)</f>
        <v>#N/A</v>
      </c>
      <c r="N73" s="303" t="e">
        <f>LOOKUP(B73,Lookups!A$5:A$265,Lookups!J$5:J$265)*1.25</f>
        <v>#N/A</v>
      </c>
      <c r="O73" s="300" t="e">
        <f>(F73*L73)+(G73*M73)+((F73+G73)*N73)+(K73*Lookups!AY$23)</f>
        <v>#N/A</v>
      </c>
      <c r="P73" s="315">
        <f>IF(H73="Y",Inputs!M73*L73,0)</f>
        <v>0</v>
      </c>
      <c r="Q73" s="315">
        <f>(I73*Lookups!AW$23)+(J73*Lookups!AX$23)</f>
        <v>0</v>
      </c>
      <c r="R73" s="315">
        <f t="shared" si="2"/>
        <v>0</v>
      </c>
      <c r="S73" s="315" t="e">
        <f t="shared" si="3"/>
        <v>#N/A</v>
      </c>
    </row>
    <row r="74" spans="1:19" x14ac:dyDescent="0.2">
      <c r="A74" s="335">
        <f>Inputs!A74</f>
        <v>0</v>
      </c>
      <c r="B74" s="307">
        <f>Inputs!B74</f>
        <v>0</v>
      </c>
      <c r="C74" s="101">
        <f>Inputs!C74</f>
        <v>0</v>
      </c>
      <c r="D74" s="101">
        <f>Inputs!E74</f>
        <v>0</v>
      </c>
      <c r="E74" s="293">
        <f>Inputs!F74</f>
        <v>0</v>
      </c>
      <c r="F74" s="100">
        <f>IF(Inputs!N74&lt;(Inputs!K74*12),Inputs!N74/12,Inputs!K74)</f>
        <v>0</v>
      </c>
      <c r="G74" s="293">
        <f>IF(Inputs!N74&lt;(Inputs!K74*12),0,(Inputs!N74/12)-Inputs!K74)</f>
        <v>0</v>
      </c>
      <c r="H74" s="100" t="str">
        <f>IF(Inputs!F74="Plug Pile Wall","Y","N")</f>
        <v>N</v>
      </c>
      <c r="I74" s="101">
        <f>IF(Inputs!F74="Precast Lagging",Inputs!M74,0)</f>
        <v>0</v>
      </c>
      <c r="J74" s="101">
        <f>IF(Inputs!F74="Timber Lagging",Inputs!M74,0)</f>
        <v>0</v>
      </c>
      <c r="K74" s="293">
        <f>Inputs!G74</f>
        <v>0</v>
      </c>
      <c r="L74" s="305" t="e">
        <f>LOOKUP(C74,Lookups!AU$5:AU$18,Lookups!AY$5:AY$18)</f>
        <v>#N/A</v>
      </c>
      <c r="M74" s="303" t="e">
        <f>LOOKUP(C74,Lookups!AU$5:AU$18,Lookups!AZ$5:AZ$18)</f>
        <v>#N/A</v>
      </c>
      <c r="N74" s="303" t="e">
        <f>LOOKUP(B74,Lookups!A$5:A$265,Lookups!J$5:J$265)*1.25</f>
        <v>#N/A</v>
      </c>
      <c r="O74" s="300" t="e">
        <f>(F74*L74)+(G74*M74)+((F74+G74)*N74)+(K74*Lookups!AY$23)</f>
        <v>#N/A</v>
      </c>
      <c r="P74" s="315">
        <f>IF(H74="Y",Inputs!M74*L74,0)</f>
        <v>0</v>
      </c>
      <c r="Q74" s="315">
        <f>(I74*Lookups!AW$23)+(J74*Lookups!AX$23)</f>
        <v>0</v>
      </c>
      <c r="R74" s="315">
        <f t="shared" si="2"/>
        <v>0</v>
      </c>
      <c r="S74" s="315" t="e">
        <f t="shared" si="3"/>
        <v>#N/A</v>
      </c>
    </row>
    <row r="75" spans="1:19" x14ac:dyDescent="0.2">
      <c r="A75" s="335">
        <f>Inputs!A75</f>
        <v>0</v>
      </c>
      <c r="B75" s="307">
        <f>Inputs!B75</f>
        <v>0</v>
      </c>
      <c r="C75" s="101">
        <f>Inputs!C75</f>
        <v>0</v>
      </c>
      <c r="D75" s="101">
        <f>Inputs!E75</f>
        <v>0</v>
      </c>
      <c r="E75" s="293">
        <f>Inputs!F75</f>
        <v>0</v>
      </c>
      <c r="F75" s="100">
        <f>IF(Inputs!N75&lt;(Inputs!K75*12),Inputs!N75/12,Inputs!K75)</f>
        <v>0</v>
      </c>
      <c r="G75" s="293">
        <f>IF(Inputs!N75&lt;(Inputs!K75*12),0,(Inputs!N75/12)-Inputs!K75)</f>
        <v>0</v>
      </c>
      <c r="H75" s="100" t="str">
        <f>IF(Inputs!F75="Plug Pile Wall","Y","N")</f>
        <v>N</v>
      </c>
      <c r="I75" s="101">
        <f>IF(Inputs!F75="Precast Lagging",Inputs!M75,0)</f>
        <v>0</v>
      </c>
      <c r="J75" s="101">
        <f>IF(Inputs!F75="Timber Lagging",Inputs!M75,0)</f>
        <v>0</v>
      </c>
      <c r="K75" s="293">
        <f>Inputs!G75</f>
        <v>0</v>
      </c>
      <c r="L75" s="305" t="e">
        <f>LOOKUP(C75,Lookups!AU$5:AU$18,Lookups!AY$5:AY$18)</f>
        <v>#N/A</v>
      </c>
      <c r="M75" s="303" t="e">
        <f>LOOKUP(C75,Lookups!AU$5:AU$18,Lookups!AZ$5:AZ$18)</f>
        <v>#N/A</v>
      </c>
      <c r="N75" s="303" t="e">
        <f>LOOKUP(B75,Lookups!A$5:A$265,Lookups!J$5:J$265)*1.25</f>
        <v>#N/A</v>
      </c>
      <c r="O75" s="300" t="e">
        <f>(F75*L75)+(G75*M75)+((F75+G75)*N75)+(K75*Lookups!AY$23)</f>
        <v>#N/A</v>
      </c>
      <c r="P75" s="315">
        <f>IF(H75="Y",Inputs!M75*L75,0)</f>
        <v>0</v>
      </c>
      <c r="Q75" s="315">
        <f>(I75*Lookups!AW$23)+(J75*Lookups!AX$23)</f>
        <v>0</v>
      </c>
      <c r="R75" s="315">
        <f t="shared" si="2"/>
        <v>0</v>
      </c>
      <c r="S75" s="315" t="e">
        <f t="shared" si="3"/>
        <v>#N/A</v>
      </c>
    </row>
    <row r="76" spans="1:19" x14ac:dyDescent="0.2">
      <c r="A76" s="335">
        <f>Inputs!A76</f>
        <v>0</v>
      </c>
      <c r="B76" s="307">
        <f>Inputs!B76</f>
        <v>0</v>
      </c>
      <c r="C76" s="101">
        <f>Inputs!C76</f>
        <v>0</v>
      </c>
      <c r="D76" s="101">
        <f>Inputs!E76</f>
        <v>0</v>
      </c>
      <c r="E76" s="293">
        <f>Inputs!F76</f>
        <v>0</v>
      </c>
      <c r="F76" s="100">
        <f>IF(Inputs!N76&lt;(Inputs!K76*12),Inputs!N76/12,Inputs!K76)</f>
        <v>0</v>
      </c>
      <c r="G76" s="293">
        <f>IF(Inputs!N76&lt;(Inputs!K76*12),0,(Inputs!N76/12)-Inputs!K76)</f>
        <v>0</v>
      </c>
      <c r="H76" s="100" t="str">
        <f>IF(Inputs!F76="Plug Pile Wall","Y","N")</f>
        <v>N</v>
      </c>
      <c r="I76" s="101">
        <f>IF(Inputs!F76="Precast Lagging",Inputs!M76,0)</f>
        <v>0</v>
      </c>
      <c r="J76" s="101">
        <f>IF(Inputs!F76="Timber Lagging",Inputs!M76,0)</f>
        <v>0</v>
      </c>
      <c r="K76" s="293">
        <f>Inputs!G76</f>
        <v>0</v>
      </c>
      <c r="L76" s="305" t="e">
        <f>LOOKUP(C76,Lookups!AU$5:AU$18,Lookups!AY$5:AY$18)</f>
        <v>#N/A</v>
      </c>
      <c r="M76" s="303" t="e">
        <f>LOOKUP(C76,Lookups!AU$5:AU$18,Lookups!AZ$5:AZ$18)</f>
        <v>#N/A</v>
      </c>
      <c r="N76" s="303" t="e">
        <f>LOOKUP(B76,Lookups!A$5:A$265,Lookups!J$5:J$265)*1.25</f>
        <v>#N/A</v>
      </c>
      <c r="O76" s="300" t="e">
        <f>(F76*L76)+(G76*M76)+((F76+G76)*N76)+(K76*Lookups!AY$23)</f>
        <v>#N/A</v>
      </c>
      <c r="P76" s="315">
        <f>IF(H76="Y",Inputs!M76*L76,0)</f>
        <v>0</v>
      </c>
      <c r="Q76" s="315">
        <f>(I76*Lookups!AW$23)+(J76*Lookups!AX$23)</f>
        <v>0</v>
      </c>
      <c r="R76" s="315">
        <f t="shared" si="2"/>
        <v>0</v>
      </c>
      <c r="S76" s="315" t="e">
        <f t="shared" si="3"/>
        <v>#N/A</v>
      </c>
    </row>
    <row r="77" spans="1:19" x14ac:dyDescent="0.2">
      <c r="A77" s="335">
        <f>Inputs!A77</f>
        <v>0</v>
      </c>
      <c r="B77" s="307">
        <f>Inputs!B77</f>
        <v>0</v>
      </c>
      <c r="C77" s="101">
        <f>Inputs!C77</f>
        <v>0</v>
      </c>
      <c r="D77" s="101">
        <f>Inputs!E77</f>
        <v>0</v>
      </c>
      <c r="E77" s="293">
        <f>Inputs!F77</f>
        <v>0</v>
      </c>
      <c r="F77" s="100">
        <f>IF(Inputs!N77&lt;(Inputs!K77*12),Inputs!N77/12,Inputs!K77)</f>
        <v>0</v>
      </c>
      <c r="G77" s="293">
        <f>IF(Inputs!N77&lt;(Inputs!K77*12),0,(Inputs!N77/12)-Inputs!K77)</f>
        <v>0</v>
      </c>
      <c r="H77" s="100" t="str">
        <f>IF(Inputs!F77="Plug Pile Wall","Y","N")</f>
        <v>N</v>
      </c>
      <c r="I77" s="101">
        <f>IF(Inputs!F77="Precast Lagging",Inputs!M77,0)</f>
        <v>0</v>
      </c>
      <c r="J77" s="101">
        <f>IF(Inputs!F77="Timber Lagging",Inputs!M77,0)</f>
        <v>0</v>
      </c>
      <c r="K77" s="293">
        <f>Inputs!G77</f>
        <v>0</v>
      </c>
      <c r="L77" s="305" t="e">
        <f>LOOKUP(C77,Lookups!AU$5:AU$18,Lookups!AY$5:AY$18)</f>
        <v>#N/A</v>
      </c>
      <c r="M77" s="303" t="e">
        <f>LOOKUP(C77,Lookups!AU$5:AU$18,Lookups!AZ$5:AZ$18)</f>
        <v>#N/A</v>
      </c>
      <c r="N77" s="303" t="e">
        <f>LOOKUP(B77,Lookups!A$5:A$265,Lookups!J$5:J$265)*1.25</f>
        <v>#N/A</v>
      </c>
      <c r="O77" s="300" t="e">
        <f>(F77*L77)+(G77*M77)+((F77+G77)*N77)+(K77*Lookups!AY$23)</f>
        <v>#N/A</v>
      </c>
      <c r="P77" s="315">
        <f>IF(H77="Y",Inputs!M77*L77,0)</f>
        <v>0</v>
      </c>
      <c r="Q77" s="315">
        <f>(I77*Lookups!AW$23)+(J77*Lookups!AX$23)</f>
        <v>0</v>
      </c>
      <c r="R77" s="315">
        <f t="shared" si="2"/>
        <v>0</v>
      </c>
      <c r="S77" s="315" t="e">
        <f t="shared" si="3"/>
        <v>#N/A</v>
      </c>
    </row>
    <row r="78" spans="1:19" x14ac:dyDescent="0.2">
      <c r="A78" s="335">
        <f>Inputs!A78</f>
        <v>0</v>
      </c>
      <c r="B78" s="307">
        <f>Inputs!B78</f>
        <v>0</v>
      </c>
      <c r="C78" s="101">
        <f>Inputs!C78</f>
        <v>0</v>
      </c>
      <c r="D78" s="101">
        <f>Inputs!E78</f>
        <v>0</v>
      </c>
      <c r="E78" s="293">
        <f>Inputs!F78</f>
        <v>0</v>
      </c>
      <c r="F78" s="100">
        <f>IF(Inputs!N78&lt;(Inputs!K78*12),Inputs!N78/12,Inputs!K78)</f>
        <v>0</v>
      </c>
      <c r="G78" s="293">
        <f>IF(Inputs!N78&lt;(Inputs!K78*12),0,(Inputs!N78/12)-Inputs!K78)</f>
        <v>0</v>
      </c>
      <c r="H78" s="100" t="str">
        <f>IF(Inputs!F78="Plug Pile Wall","Y","N")</f>
        <v>N</v>
      </c>
      <c r="I78" s="101">
        <f>IF(Inputs!F78="Precast Lagging",Inputs!M78,0)</f>
        <v>0</v>
      </c>
      <c r="J78" s="101">
        <f>IF(Inputs!F78="Timber Lagging",Inputs!M78,0)</f>
        <v>0</v>
      </c>
      <c r="K78" s="293">
        <f>Inputs!G78</f>
        <v>0</v>
      </c>
      <c r="L78" s="305" t="e">
        <f>LOOKUP(C78,Lookups!AU$5:AU$18,Lookups!AY$5:AY$18)</f>
        <v>#N/A</v>
      </c>
      <c r="M78" s="303" t="e">
        <f>LOOKUP(C78,Lookups!AU$5:AU$18,Lookups!AZ$5:AZ$18)</f>
        <v>#N/A</v>
      </c>
      <c r="N78" s="303" t="e">
        <f>LOOKUP(B78,Lookups!A$5:A$265,Lookups!J$5:J$265)*1.25</f>
        <v>#N/A</v>
      </c>
      <c r="O78" s="300" t="e">
        <f>(F78*L78)+(G78*M78)+((F78+G78)*N78)+(K78*Lookups!AY$23)</f>
        <v>#N/A</v>
      </c>
      <c r="P78" s="315">
        <f>IF(H78="Y",Inputs!M78*L78,0)</f>
        <v>0</v>
      </c>
      <c r="Q78" s="315">
        <f>(I78*Lookups!AW$23)+(J78*Lookups!AX$23)</f>
        <v>0</v>
      </c>
      <c r="R78" s="315">
        <f t="shared" si="2"/>
        <v>0</v>
      </c>
      <c r="S78" s="315" t="e">
        <f t="shared" si="3"/>
        <v>#N/A</v>
      </c>
    </row>
    <row r="79" spans="1:19" x14ac:dyDescent="0.2">
      <c r="A79" s="335">
        <f>Inputs!A79</f>
        <v>0</v>
      </c>
      <c r="B79" s="307">
        <f>Inputs!B79</f>
        <v>0</v>
      </c>
      <c r="C79" s="101">
        <f>Inputs!C79</f>
        <v>0</v>
      </c>
      <c r="D79" s="101">
        <f>Inputs!E79</f>
        <v>0</v>
      </c>
      <c r="E79" s="293">
        <f>Inputs!F79</f>
        <v>0</v>
      </c>
      <c r="F79" s="100">
        <f>IF(Inputs!N79&lt;(Inputs!K79*12),Inputs!N79/12,Inputs!K79)</f>
        <v>0</v>
      </c>
      <c r="G79" s="293">
        <f>IF(Inputs!N79&lt;(Inputs!K79*12),0,(Inputs!N79/12)-Inputs!K79)</f>
        <v>0</v>
      </c>
      <c r="H79" s="100" t="str">
        <f>IF(Inputs!F79="Plug Pile Wall","Y","N")</f>
        <v>N</v>
      </c>
      <c r="I79" s="101">
        <f>IF(Inputs!F79="Precast Lagging",Inputs!M79,0)</f>
        <v>0</v>
      </c>
      <c r="J79" s="101">
        <f>IF(Inputs!F79="Timber Lagging",Inputs!M79,0)</f>
        <v>0</v>
      </c>
      <c r="K79" s="293">
        <f>Inputs!G79</f>
        <v>0</v>
      </c>
      <c r="L79" s="305" t="e">
        <f>LOOKUP(C79,Lookups!AU$5:AU$18,Lookups!AY$5:AY$18)</f>
        <v>#N/A</v>
      </c>
      <c r="M79" s="303" t="e">
        <f>LOOKUP(C79,Lookups!AU$5:AU$18,Lookups!AZ$5:AZ$18)</f>
        <v>#N/A</v>
      </c>
      <c r="N79" s="303" t="e">
        <f>LOOKUP(B79,Lookups!A$5:A$265,Lookups!J$5:J$265)*1.25</f>
        <v>#N/A</v>
      </c>
      <c r="O79" s="300" t="e">
        <f>(F79*L79)+(G79*M79)+((F79+G79)*N79)+(K79*Lookups!AY$23)</f>
        <v>#N/A</v>
      </c>
      <c r="P79" s="315">
        <f>IF(H79="Y",Inputs!M79*L79,0)</f>
        <v>0</v>
      </c>
      <c r="Q79" s="315">
        <f>(I79*Lookups!AW$23)+(J79*Lookups!AX$23)</f>
        <v>0</v>
      </c>
      <c r="R79" s="315">
        <f t="shared" si="2"/>
        <v>0</v>
      </c>
      <c r="S79" s="315" t="e">
        <f t="shared" si="3"/>
        <v>#N/A</v>
      </c>
    </row>
    <row r="80" spans="1:19" x14ac:dyDescent="0.2">
      <c r="A80" s="335">
        <f>Inputs!A80</f>
        <v>0</v>
      </c>
      <c r="B80" s="307">
        <f>Inputs!B80</f>
        <v>0</v>
      </c>
      <c r="C80" s="101">
        <f>Inputs!C80</f>
        <v>0</v>
      </c>
      <c r="D80" s="101">
        <f>Inputs!E80</f>
        <v>0</v>
      </c>
      <c r="E80" s="293">
        <f>Inputs!F80</f>
        <v>0</v>
      </c>
      <c r="F80" s="100">
        <f>IF(Inputs!N80&lt;(Inputs!K80*12),Inputs!N80/12,Inputs!K80)</f>
        <v>0</v>
      </c>
      <c r="G80" s="293">
        <f>IF(Inputs!N80&lt;(Inputs!K80*12),0,(Inputs!N80/12)-Inputs!K80)</f>
        <v>0</v>
      </c>
      <c r="H80" s="100" t="str">
        <f>IF(Inputs!F80="Plug Pile Wall","Y","N")</f>
        <v>N</v>
      </c>
      <c r="I80" s="101">
        <f>IF(Inputs!F80="Precast Lagging",Inputs!M80,0)</f>
        <v>0</v>
      </c>
      <c r="J80" s="101">
        <f>IF(Inputs!F80="Timber Lagging",Inputs!M80,0)</f>
        <v>0</v>
      </c>
      <c r="K80" s="293">
        <f>Inputs!G80</f>
        <v>0</v>
      </c>
      <c r="L80" s="305" t="e">
        <f>LOOKUP(C80,Lookups!AU$5:AU$18,Lookups!AY$5:AY$18)</f>
        <v>#N/A</v>
      </c>
      <c r="M80" s="303" t="e">
        <f>LOOKUP(C80,Lookups!AU$5:AU$18,Lookups!AZ$5:AZ$18)</f>
        <v>#N/A</v>
      </c>
      <c r="N80" s="303" t="e">
        <f>LOOKUP(B80,Lookups!A$5:A$265,Lookups!J$5:J$265)*1.25</f>
        <v>#N/A</v>
      </c>
      <c r="O80" s="300" t="e">
        <f>(F80*L80)+(G80*M80)+((F80+G80)*N80)+(K80*Lookups!AY$23)</f>
        <v>#N/A</v>
      </c>
      <c r="P80" s="315">
        <f>IF(H80="Y",Inputs!M80*L80,0)</f>
        <v>0</v>
      </c>
      <c r="Q80" s="315">
        <f>(I80*Lookups!AW$23)+(J80*Lookups!AX$23)</f>
        <v>0</v>
      </c>
      <c r="R80" s="315">
        <f t="shared" si="2"/>
        <v>0</v>
      </c>
      <c r="S80" s="315" t="e">
        <f t="shared" si="3"/>
        <v>#N/A</v>
      </c>
    </row>
    <row r="81" spans="1:19" x14ac:dyDescent="0.2">
      <c r="A81" s="335">
        <f>Inputs!A81</f>
        <v>0</v>
      </c>
      <c r="B81" s="307">
        <f>Inputs!B81</f>
        <v>0</v>
      </c>
      <c r="C81" s="101">
        <f>Inputs!C81</f>
        <v>0</v>
      </c>
      <c r="D81" s="101">
        <f>Inputs!E81</f>
        <v>0</v>
      </c>
      <c r="E81" s="293">
        <f>Inputs!F81</f>
        <v>0</v>
      </c>
      <c r="F81" s="100">
        <f>IF(Inputs!N81&lt;(Inputs!K81*12),Inputs!N81/12,Inputs!K81)</f>
        <v>0</v>
      </c>
      <c r="G81" s="293">
        <f>IF(Inputs!N81&lt;(Inputs!K81*12),0,(Inputs!N81/12)-Inputs!K81)</f>
        <v>0</v>
      </c>
      <c r="H81" s="100" t="str">
        <f>IF(Inputs!F81="Plug Pile Wall","Y","N")</f>
        <v>N</v>
      </c>
      <c r="I81" s="101">
        <f>IF(Inputs!F81="Precast Lagging",Inputs!M81,0)</f>
        <v>0</v>
      </c>
      <c r="J81" s="101">
        <f>IF(Inputs!F81="Timber Lagging",Inputs!M81,0)</f>
        <v>0</v>
      </c>
      <c r="K81" s="293">
        <f>Inputs!G81</f>
        <v>0</v>
      </c>
      <c r="L81" s="305" t="e">
        <f>LOOKUP(C81,Lookups!AU$5:AU$18,Lookups!AY$5:AY$18)</f>
        <v>#N/A</v>
      </c>
      <c r="M81" s="303" t="e">
        <f>LOOKUP(C81,Lookups!AU$5:AU$18,Lookups!AZ$5:AZ$18)</f>
        <v>#N/A</v>
      </c>
      <c r="N81" s="303" t="e">
        <f>LOOKUP(B81,Lookups!A$5:A$265,Lookups!J$5:J$265)*1.25</f>
        <v>#N/A</v>
      </c>
      <c r="O81" s="300" t="e">
        <f>(F81*L81)+(G81*M81)+((F81+G81)*N81)+(K81*Lookups!AY$23)</f>
        <v>#N/A</v>
      </c>
      <c r="P81" s="315">
        <f>IF(H81="Y",Inputs!M81*L81,0)</f>
        <v>0</v>
      </c>
      <c r="Q81" s="315">
        <f>(I81*Lookups!AW$23)+(J81*Lookups!AX$23)</f>
        <v>0</v>
      </c>
      <c r="R81" s="315">
        <f t="shared" si="2"/>
        <v>0</v>
      </c>
      <c r="S81" s="315" t="e">
        <f t="shared" si="3"/>
        <v>#N/A</v>
      </c>
    </row>
    <row r="82" spans="1:19" x14ac:dyDescent="0.2">
      <c r="A82" s="335">
        <f>Inputs!A82</f>
        <v>0</v>
      </c>
      <c r="B82" s="307">
        <f>Inputs!B82</f>
        <v>0</v>
      </c>
      <c r="C82" s="101">
        <f>Inputs!C82</f>
        <v>0</v>
      </c>
      <c r="D82" s="101">
        <f>Inputs!E82</f>
        <v>0</v>
      </c>
      <c r="E82" s="293">
        <f>Inputs!F82</f>
        <v>0</v>
      </c>
      <c r="F82" s="100">
        <f>IF(Inputs!N82&lt;(Inputs!K82*12),Inputs!N82/12,Inputs!K82)</f>
        <v>0</v>
      </c>
      <c r="G82" s="293">
        <f>IF(Inputs!N82&lt;(Inputs!K82*12),0,(Inputs!N82/12)-Inputs!K82)</f>
        <v>0</v>
      </c>
      <c r="H82" s="100" t="str">
        <f>IF(Inputs!F82="Plug Pile Wall","Y","N")</f>
        <v>N</v>
      </c>
      <c r="I82" s="101">
        <f>IF(Inputs!F82="Precast Lagging",Inputs!M82,0)</f>
        <v>0</v>
      </c>
      <c r="J82" s="101">
        <f>IF(Inputs!F82="Timber Lagging",Inputs!M82,0)</f>
        <v>0</v>
      </c>
      <c r="K82" s="293">
        <f>Inputs!G82</f>
        <v>0</v>
      </c>
      <c r="L82" s="305" t="e">
        <f>LOOKUP(C82,Lookups!AU$5:AU$18,Lookups!AY$5:AY$18)</f>
        <v>#N/A</v>
      </c>
      <c r="M82" s="303" t="e">
        <f>LOOKUP(C82,Lookups!AU$5:AU$18,Lookups!AZ$5:AZ$18)</f>
        <v>#N/A</v>
      </c>
      <c r="N82" s="303" t="e">
        <f>LOOKUP(B82,Lookups!A$5:A$265,Lookups!J$5:J$265)*1.25</f>
        <v>#N/A</v>
      </c>
      <c r="O82" s="300" t="e">
        <f>(F82*L82)+(G82*M82)+((F82+G82)*N82)+(K82*Lookups!AY$23)</f>
        <v>#N/A</v>
      </c>
      <c r="P82" s="315">
        <f>IF(H82="Y",Inputs!M82*L82,0)</f>
        <v>0</v>
      </c>
      <c r="Q82" s="315">
        <f>(I82*Lookups!AW$23)+(J82*Lookups!AX$23)</f>
        <v>0</v>
      </c>
      <c r="R82" s="315">
        <f t="shared" si="2"/>
        <v>0</v>
      </c>
      <c r="S82" s="315" t="e">
        <f t="shared" si="3"/>
        <v>#N/A</v>
      </c>
    </row>
    <row r="83" spans="1:19" x14ac:dyDescent="0.2">
      <c r="A83" s="335">
        <f>Inputs!A83</f>
        <v>0</v>
      </c>
      <c r="B83" s="307">
        <f>Inputs!B83</f>
        <v>0</v>
      </c>
      <c r="C83" s="101">
        <f>Inputs!C83</f>
        <v>0</v>
      </c>
      <c r="D83" s="101">
        <f>Inputs!E83</f>
        <v>0</v>
      </c>
      <c r="E83" s="293">
        <f>Inputs!F83</f>
        <v>0</v>
      </c>
      <c r="F83" s="100">
        <f>IF(Inputs!N83&lt;(Inputs!K83*12),Inputs!N83/12,Inputs!K83)</f>
        <v>0</v>
      </c>
      <c r="G83" s="293">
        <f>IF(Inputs!N83&lt;(Inputs!K83*12),0,(Inputs!N83/12)-Inputs!K83)</f>
        <v>0</v>
      </c>
      <c r="H83" s="100" t="str">
        <f>IF(Inputs!F83="Plug Pile Wall","Y","N")</f>
        <v>N</v>
      </c>
      <c r="I83" s="101">
        <f>IF(Inputs!F83="Precast Lagging",Inputs!M83,0)</f>
        <v>0</v>
      </c>
      <c r="J83" s="101">
        <f>IF(Inputs!F83="Timber Lagging",Inputs!M83,0)</f>
        <v>0</v>
      </c>
      <c r="K83" s="293">
        <f>Inputs!G83</f>
        <v>0</v>
      </c>
      <c r="L83" s="305" t="e">
        <f>LOOKUP(C83,Lookups!AU$5:AU$18,Lookups!AY$5:AY$18)</f>
        <v>#N/A</v>
      </c>
      <c r="M83" s="303" t="e">
        <f>LOOKUP(C83,Lookups!AU$5:AU$18,Lookups!AZ$5:AZ$18)</f>
        <v>#N/A</v>
      </c>
      <c r="N83" s="303" t="e">
        <f>LOOKUP(B83,Lookups!A$5:A$265,Lookups!J$5:J$265)*1.25</f>
        <v>#N/A</v>
      </c>
      <c r="O83" s="300" t="e">
        <f>(F83*L83)+(G83*M83)+((F83+G83)*N83)+(K83*Lookups!AY$23)</f>
        <v>#N/A</v>
      </c>
      <c r="P83" s="315">
        <f>IF(H83="Y",Inputs!M83*L83,0)</f>
        <v>0</v>
      </c>
      <c r="Q83" s="315">
        <f>(I83*Lookups!AW$23)+(J83*Lookups!AX$23)</f>
        <v>0</v>
      </c>
      <c r="R83" s="315">
        <f t="shared" si="2"/>
        <v>0</v>
      </c>
      <c r="S83" s="315" t="e">
        <f t="shared" si="3"/>
        <v>#N/A</v>
      </c>
    </row>
    <row r="84" spans="1:19" x14ac:dyDescent="0.2">
      <c r="A84" s="335">
        <f>Inputs!A84</f>
        <v>0</v>
      </c>
      <c r="B84" s="307">
        <f>Inputs!B84</f>
        <v>0</v>
      </c>
      <c r="C84" s="101">
        <f>Inputs!C84</f>
        <v>0</v>
      </c>
      <c r="D84" s="101">
        <f>Inputs!E84</f>
        <v>0</v>
      </c>
      <c r="E84" s="293">
        <f>Inputs!F84</f>
        <v>0</v>
      </c>
      <c r="F84" s="100">
        <f>IF(Inputs!N84&lt;(Inputs!K84*12),Inputs!N84/12,Inputs!K84)</f>
        <v>0</v>
      </c>
      <c r="G84" s="293">
        <f>IF(Inputs!N84&lt;(Inputs!K84*12),0,(Inputs!N84/12)-Inputs!K84)</f>
        <v>0</v>
      </c>
      <c r="H84" s="100" t="str">
        <f>IF(Inputs!F84="Plug Pile Wall","Y","N")</f>
        <v>N</v>
      </c>
      <c r="I84" s="101">
        <f>IF(Inputs!F84="Precast Lagging",Inputs!M84,0)</f>
        <v>0</v>
      </c>
      <c r="J84" s="101">
        <f>IF(Inputs!F84="Timber Lagging",Inputs!M84,0)</f>
        <v>0</v>
      </c>
      <c r="K84" s="293">
        <f>Inputs!G84</f>
        <v>0</v>
      </c>
      <c r="L84" s="305" t="e">
        <f>LOOKUP(C84,Lookups!AU$5:AU$18,Lookups!AY$5:AY$18)</f>
        <v>#N/A</v>
      </c>
      <c r="M84" s="303" t="e">
        <f>LOOKUP(C84,Lookups!AU$5:AU$18,Lookups!AZ$5:AZ$18)</f>
        <v>#N/A</v>
      </c>
      <c r="N84" s="303" t="e">
        <f>LOOKUP(B84,Lookups!A$5:A$265,Lookups!J$5:J$265)*1.25</f>
        <v>#N/A</v>
      </c>
      <c r="O84" s="300" t="e">
        <f>(F84*L84)+(G84*M84)+((F84+G84)*N84)+(K84*Lookups!AY$23)</f>
        <v>#N/A</v>
      </c>
      <c r="P84" s="315">
        <f>IF(H84="Y",Inputs!M84*L84,0)</f>
        <v>0</v>
      </c>
      <c r="Q84" s="315">
        <f>(I84*Lookups!AW$23)+(J84*Lookups!AX$23)</f>
        <v>0</v>
      </c>
      <c r="R84" s="315">
        <f t="shared" si="2"/>
        <v>0</v>
      </c>
      <c r="S84" s="315" t="e">
        <f t="shared" si="3"/>
        <v>#N/A</v>
      </c>
    </row>
    <row r="85" spans="1:19" x14ac:dyDescent="0.2">
      <c r="A85" s="335">
        <f>Inputs!A85</f>
        <v>0</v>
      </c>
      <c r="B85" s="307">
        <f>Inputs!B85</f>
        <v>0</v>
      </c>
      <c r="C85" s="101">
        <f>Inputs!C85</f>
        <v>0</v>
      </c>
      <c r="D85" s="101">
        <f>Inputs!E85</f>
        <v>0</v>
      </c>
      <c r="E85" s="293">
        <f>Inputs!F85</f>
        <v>0</v>
      </c>
      <c r="F85" s="100">
        <f>IF(Inputs!N85&lt;(Inputs!K85*12),Inputs!N85/12,Inputs!K85)</f>
        <v>0</v>
      </c>
      <c r="G85" s="293">
        <f>IF(Inputs!N85&lt;(Inputs!K85*12),0,(Inputs!N85/12)-Inputs!K85)</f>
        <v>0</v>
      </c>
      <c r="H85" s="100" t="str">
        <f>IF(Inputs!F85="Plug Pile Wall","Y","N")</f>
        <v>N</v>
      </c>
      <c r="I85" s="101">
        <f>IF(Inputs!F85="Precast Lagging",Inputs!M85,0)</f>
        <v>0</v>
      </c>
      <c r="J85" s="101">
        <f>IF(Inputs!F85="Timber Lagging",Inputs!M85,0)</f>
        <v>0</v>
      </c>
      <c r="K85" s="293">
        <f>Inputs!G85</f>
        <v>0</v>
      </c>
      <c r="L85" s="305" t="e">
        <f>LOOKUP(C85,Lookups!AU$5:AU$18,Lookups!AY$5:AY$18)</f>
        <v>#N/A</v>
      </c>
      <c r="M85" s="303" t="e">
        <f>LOOKUP(C85,Lookups!AU$5:AU$18,Lookups!AZ$5:AZ$18)</f>
        <v>#N/A</v>
      </c>
      <c r="N85" s="303" t="e">
        <f>LOOKUP(B85,Lookups!A$5:A$265,Lookups!J$5:J$265)*1.25</f>
        <v>#N/A</v>
      </c>
      <c r="O85" s="300" t="e">
        <f>(F85*L85)+(G85*M85)+((F85+G85)*N85)+(K85*Lookups!AY$23)</f>
        <v>#N/A</v>
      </c>
      <c r="P85" s="315">
        <f>IF(H85="Y",Inputs!M85*L85,0)</f>
        <v>0</v>
      </c>
      <c r="Q85" s="315">
        <f>(I85*Lookups!AW$23)+(J85*Lookups!AX$23)</f>
        <v>0</v>
      </c>
      <c r="R85" s="315">
        <f t="shared" si="2"/>
        <v>0</v>
      </c>
      <c r="S85" s="315" t="e">
        <f t="shared" si="3"/>
        <v>#N/A</v>
      </c>
    </row>
    <row r="86" spans="1:19" x14ac:dyDescent="0.2">
      <c r="A86" s="335">
        <f>Inputs!A86</f>
        <v>0</v>
      </c>
      <c r="B86" s="307">
        <f>Inputs!B86</f>
        <v>0</v>
      </c>
      <c r="C86" s="101">
        <f>Inputs!C86</f>
        <v>0</v>
      </c>
      <c r="D86" s="101">
        <f>Inputs!E86</f>
        <v>0</v>
      </c>
      <c r="E86" s="293">
        <f>Inputs!F86</f>
        <v>0</v>
      </c>
      <c r="F86" s="100">
        <f>IF(Inputs!N86&lt;(Inputs!K86*12),Inputs!N86/12,Inputs!K86)</f>
        <v>0</v>
      </c>
      <c r="G86" s="293">
        <f>IF(Inputs!N86&lt;(Inputs!K86*12),0,(Inputs!N86/12)-Inputs!K86)</f>
        <v>0</v>
      </c>
      <c r="H86" s="100" t="str">
        <f>IF(Inputs!F86="Plug Pile Wall","Y","N")</f>
        <v>N</v>
      </c>
      <c r="I86" s="101">
        <f>IF(Inputs!F86="Precast Lagging",Inputs!M86,0)</f>
        <v>0</v>
      </c>
      <c r="J86" s="101">
        <f>IF(Inputs!F86="Timber Lagging",Inputs!M86,0)</f>
        <v>0</v>
      </c>
      <c r="K86" s="293">
        <f>Inputs!G86</f>
        <v>0</v>
      </c>
      <c r="L86" s="305" t="e">
        <f>LOOKUP(C86,Lookups!AU$5:AU$18,Lookups!AY$5:AY$18)</f>
        <v>#N/A</v>
      </c>
      <c r="M86" s="303" t="e">
        <f>LOOKUP(C86,Lookups!AU$5:AU$18,Lookups!AZ$5:AZ$18)</f>
        <v>#N/A</v>
      </c>
      <c r="N86" s="303" t="e">
        <f>LOOKUP(B86,Lookups!A$5:A$265,Lookups!J$5:J$265)*1.25</f>
        <v>#N/A</v>
      </c>
      <c r="O86" s="300" t="e">
        <f>(F86*L86)+(G86*M86)+((F86+G86)*N86)+(K86*Lookups!AY$23)</f>
        <v>#N/A</v>
      </c>
      <c r="P86" s="315">
        <f>IF(H86="Y",Inputs!M86*L86,0)</f>
        <v>0</v>
      </c>
      <c r="Q86" s="315">
        <f>(I86*Lookups!AW$23)+(J86*Lookups!AX$23)</f>
        <v>0</v>
      </c>
      <c r="R86" s="315">
        <f t="shared" si="2"/>
        <v>0</v>
      </c>
      <c r="S86" s="315" t="e">
        <f t="shared" si="3"/>
        <v>#N/A</v>
      </c>
    </row>
    <row r="87" spans="1:19" x14ac:dyDescent="0.2">
      <c r="A87" s="335">
        <f>Inputs!A87</f>
        <v>0</v>
      </c>
      <c r="B87" s="307">
        <f>Inputs!B87</f>
        <v>0</v>
      </c>
      <c r="C87" s="101">
        <f>Inputs!C87</f>
        <v>0</v>
      </c>
      <c r="D87" s="101">
        <f>Inputs!E87</f>
        <v>0</v>
      </c>
      <c r="E87" s="293">
        <f>Inputs!F87</f>
        <v>0</v>
      </c>
      <c r="F87" s="100">
        <f>IF(Inputs!N87&lt;(Inputs!K87*12),Inputs!N87/12,Inputs!K87)</f>
        <v>0</v>
      </c>
      <c r="G87" s="293">
        <f>IF(Inputs!N87&lt;(Inputs!K87*12),0,(Inputs!N87/12)-Inputs!K87)</f>
        <v>0</v>
      </c>
      <c r="H87" s="100" t="str">
        <f>IF(Inputs!F87="Plug Pile Wall","Y","N")</f>
        <v>N</v>
      </c>
      <c r="I87" s="101">
        <f>IF(Inputs!F87="Precast Lagging",Inputs!M87,0)</f>
        <v>0</v>
      </c>
      <c r="J87" s="101">
        <f>IF(Inputs!F87="Timber Lagging",Inputs!M87,0)</f>
        <v>0</v>
      </c>
      <c r="K87" s="293">
        <f>Inputs!G87</f>
        <v>0</v>
      </c>
      <c r="L87" s="305" t="e">
        <f>LOOKUP(C87,Lookups!AU$5:AU$18,Lookups!AY$5:AY$18)</f>
        <v>#N/A</v>
      </c>
      <c r="M87" s="303" t="e">
        <f>LOOKUP(C87,Lookups!AU$5:AU$18,Lookups!AZ$5:AZ$18)</f>
        <v>#N/A</v>
      </c>
      <c r="N87" s="303" t="e">
        <f>LOOKUP(B87,Lookups!A$5:A$265,Lookups!J$5:J$265)*1.25</f>
        <v>#N/A</v>
      </c>
      <c r="O87" s="300" t="e">
        <f>(F87*L87)+(G87*M87)+((F87+G87)*N87)+(K87*Lookups!AY$23)</f>
        <v>#N/A</v>
      </c>
      <c r="P87" s="315">
        <f>IF(H87="Y",Inputs!M87*L87,0)</f>
        <v>0</v>
      </c>
      <c r="Q87" s="315">
        <f>(I87*Lookups!AW$23)+(J87*Lookups!AX$23)</f>
        <v>0</v>
      </c>
      <c r="R87" s="315">
        <f t="shared" si="2"/>
        <v>0</v>
      </c>
      <c r="S87" s="315" t="e">
        <f t="shared" si="3"/>
        <v>#N/A</v>
      </c>
    </row>
    <row r="88" spans="1:19" x14ac:dyDescent="0.2">
      <c r="A88" s="335">
        <f>Inputs!A88</f>
        <v>0</v>
      </c>
      <c r="B88" s="307">
        <f>Inputs!B88</f>
        <v>0</v>
      </c>
      <c r="C88" s="101">
        <f>Inputs!C88</f>
        <v>0</v>
      </c>
      <c r="D88" s="101">
        <f>Inputs!E88</f>
        <v>0</v>
      </c>
      <c r="E88" s="293">
        <f>Inputs!F88</f>
        <v>0</v>
      </c>
      <c r="F88" s="100">
        <f>IF(Inputs!N88&lt;(Inputs!K88*12),Inputs!N88/12,Inputs!K88)</f>
        <v>0</v>
      </c>
      <c r="G88" s="293">
        <f>IF(Inputs!N88&lt;(Inputs!K88*12),0,(Inputs!N88/12)-Inputs!K88)</f>
        <v>0</v>
      </c>
      <c r="H88" s="100" t="str">
        <f>IF(Inputs!F88="Plug Pile Wall","Y","N")</f>
        <v>N</v>
      </c>
      <c r="I88" s="101">
        <f>IF(Inputs!F88="Precast Lagging",Inputs!M88,0)</f>
        <v>0</v>
      </c>
      <c r="J88" s="101">
        <f>IF(Inputs!F88="Timber Lagging",Inputs!M88,0)</f>
        <v>0</v>
      </c>
      <c r="K88" s="293">
        <f>Inputs!G88</f>
        <v>0</v>
      </c>
      <c r="L88" s="305" t="e">
        <f>LOOKUP(C88,Lookups!AU$5:AU$18,Lookups!AY$5:AY$18)</f>
        <v>#N/A</v>
      </c>
      <c r="M88" s="303" t="e">
        <f>LOOKUP(C88,Lookups!AU$5:AU$18,Lookups!AZ$5:AZ$18)</f>
        <v>#N/A</v>
      </c>
      <c r="N88" s="303" t="e">
        <f>LOOKUP(B88,Lookups!A$5:A$265,Lookups!J$5:J$265)*1.25</f>
        <v>#N/A</v>
      </c>
      <c r="O88" s="300" t="e">
        <f>(F88*L88)+(G88*M88)+((F88+G88)*N88)+(K88*Lookups!AY$23)</f>
        <v>#N/A</v>
      </c>
      <c r="P88" s="315">
        <f>IF(H88="Y",Inputs!M88*L88,0)</f>
        <v>0</v>
      </c>
      <c r="Q88" s="315">
        <f>(I88*Lookups!AW$23)+(J88*Lookups!AX$23)</f>
        <v>0</v>
      </c>
      <c r="R88" s="315">
        <f t="shared" si="2"/>
        <v>0</v>
      </c>
      <c r="S88" s="315" t="e">
        <f t="shared" si="3"/>
        <v>#N/A</v>
      </c>
    </row>
    <row r="89" spans="1:19" x14ac:dyDescent="0.2">
      <c r="A89" s="335">
        <f>Inputs!A89</f>
        <v>0</v>
      </c>
      <c r="B89" s="307">
        <f>Inputs!B89</f>
        <v>0</v>
      </c>
      <c r="C89" s="101">
        <f>Inputs!C89</f>
        <v>0</v>
      </c>
      <c r="D89" s="101">
        <f>Inputs!E89</f>
        <v>0</v>
      </c>
      <c r="E89" s="293">
        <f>Inputs!F89</f>
        <v>0</v>
      </c>
      <c r="F89" s="100">
        <f>IF(Inputs!N89&lt;(Inputs!K89*12),Inputs!N89/12,Inputs!K89)</f>
        <v>0</v>
      </c>
      <c r="G89" s="293">
        <f>IF(Inputs!N89&lt;(Inputs!K89*12),0,(Inputs!N89/12)-Inputs!K89)</f>
        <v>0</v>
      </c>
      <c r="H89" s="100" t="str">
        <f>IF(Inputs!F89="Plug Pile Wall","Y","N")</f>
        <v>N</v>
      </c>
      <c r="I89" s="101">
        <f>IF(Inputs!F89="Precast Lagging",Inputs!M89,0)</f>
        <v>0</v>
      </c>
      <c r="J89" s="101">
        <f>IF(Inputs!F89="Timber Lagging",Inputs!M89,0)</f>
        <v>0</v>
      </c>
      <c r="K89" s="293">
        <f>Inputs!G89</f>
        <v>0</v>
      </c>
      <c r="L89" s="305" t="e">
        <f>LOOKUP(C89,Lookups!AU$5:AU$18,Lookups!AY$5:AY$18)</f>
        <v>#N/A</v>
      </c>
      <c r="M89" s="303" t="e">
        <f>LOOKUP(C89,Lookups!AU$5:AU$18,Lookups!AZ$5:AZ$18)</f>
        <v>#N/A</v>
      </c>
      <c r="N89" s="303" t="e">
        <f>LOOKUP(B89,Lookups!A$5:A$265,Lookups!J$5:J$265)*1.25</f>
        <v>#N/A</v>
      </c>
      <c r="O89" s="300" t="e">
        <f>(F89*L89)+(G89*M89)+((F89+G89)*N89)+(K89*Lookups!AY$23)</f>
        <v>#N/A</v>
      </c>
      <c r="P89" s="315">
        <f>IF(H89="Y",Inputs!M89*L89,0)</f>
        <v>0</v>
      </c>
      <c r="Q89" s="315">
        <f>(I89*Lookups!AW$23)+(J89*Lookups!AX$23)</f>
        <v>0</v>
      </c>
      <c r="R89" s="315">
        <f t="shared" ref="R89:R118" si="4">IF(I89&gt;0,(1*(8*I89+I89^2/2))/(27/1)*(12/1),IF(J89&gt;0,(1*(8*J89+J89^2/2))/(27/1)*(12/1),0))</f>
        <v>0</v>
      </c>
      <c r="S89" s="315" t="e">
        <f t="shared" ref="S89:S118" si="5">(O89+P89)/((C89/12)*D89)+Q89</f>
        <v>#N/A</v>
      </c>
    </row>
    <row r="90" spans="1:19" x14ac:dyDescent="0.2">
      <c r="A90" s="335">
        <f>Inputs!A90</f>
        <v>0</v>
      </c>
      <c r="B90" s="307">
        <f>Inputs!B90</f>
        <v>0</v>
      </c>
      <c r="C90" s="101">
        <f>Inputs!C90</f>
        <v>0</v>
      </c>
      <c r="D90" s="101">
        <f>Inputs!E90</f>
        <v>0</v>
      </c>
      <c r="E90" s="293">
        <f>Inputs!F90</f>
        <v>0</v>
      </c>
      <c r="F90" s="100">
        <f>IF(Inputs!N90&lt;(Inputs!K90*12),Inputs!N90/12,Inputs!K90)</f>
        <v>0</v>
      </c>
      <c r="G90" s="293">
        <f>IF(Inputs!N90&lt;(Inputs!K90*12),0,(Inputs!N90/12)-Inputs!K90)</f>
        <v>0</v>
      </c>
      <c r="H90" s="100" t="str">
        <f>IF(Inputs!F90="Plug Pile Wall","Y","N")</f>
        <v>N</v>
      </c>
      <c r="I90" s="101">
        <f>IF(Inputs!F90="Precast Lagging",Inputs!M90,0)</f>
        <v>0</v>
      </c>
      <c r="J90" s="101">
        <f>IF(Inputs!F90="Timber Lagging",Inputs!M90,0)</f>
        <v>0</v>
      </c>
      <c r="K90" s="293">
        <f>Inputs!G90</f>
        <v>0</v>
      </c>
      <c r="L90" s="305" t="e">
        <f>LOOKUP(C90,Lookups!AU$5:AU$18,Lookups!AY$5:AY$18)</f>
        <v>#N/A</v>
      </c>
      <c r="M90" s="303" t="e">
        <f>LOOKUP(C90,Lookups!AU$5:AU$18,Lookups!AZ$5:AZ$18)</f>
        <v>#N/A</v>
      </c>
      <c r="N90" s="303" t="e">
        <f>LOOKUP(B90,Lookups!A$5:A$265,Lookups!J$5:J$265)*1.25</f>
        <v>#N/A</v>
      </c>
      <c r="O90" s="300" t="e">
        <f>(F90*L90)+(G90*M90)+((F90+G90)*N90)+(K90*Lookups!AY$23)</f>
        <v>#N/A</v>
      </c>
      <c r="P90" s="315">
        <f>IF(H90="Y",Inputs!M90*L90,0)</f>
        <v>0</v>
      </c>
      <c r="Q90" s="315">
        <f>(I90*Lookups!AW$23)+(J90*Lookups!AX$23)</f>
        <v>0</v>
      </c>
      <c r="R90" s="315">
        <f t="shared" si="4"/>
        <v>0</v>
      </c>
      <c r="S90" s="315" t="e">
        <f t="shared" si="5"/>
        <v>#N/A</v>
      </c>
    </row>
    <row r="91" spans="1:19" x14ac:dyDescent="0.2">
      <c r="A91" s="335">
        <f>Inputs!A91</f>
        <v>0</v>
      </c>
      <c r="B91" s="307">
        <f>Inputs!B91</f>
        <v>0</v>
      </c>
      <c r="C91" s="101">
        <f>Inputs!C91</f>
        <v>0</v>
      </c>
      <c r="D91" s="101">
        <f>Inputs!E91</f>
        <v>0</v>
      </c>
      <c r="E91" s="293">
        <f>Inputs!F91</f>
        <v>0</v>
      </c>
      <c r="F91" s="100">
        <f>IF(Inputs!N91&lt;(Inputs!K91*12),Inputs!N91/12,Inputs!K91)</f>
        <v>0</v>
      </c>
      <c r="G91" s="293">
        <f>IF(Inputs!N91&lt;(Inputs!K91*12),0,(Inputs!N91/12)-Inputs!K91)</f>
        <v>0</v>
      </c>
      <c r="H91" s="100" t="str">
        <f>IF(Inputs!F91="Plug Pile Wall","Y","N")</f>
        <v>N</v>
      </c>
      <c r="I91" s="101">
        <f>IF(Inputs!F91="Precast Lagging",Inputs!M91,0)</f>
        <v>0</v>
      </c>
      <c r="J91" s="101">
        <f>IF(Inputs!F91="Timber Lagging",Inputs!M91,0)</f>
        <v>0</v>
      </c>
      <c r="K91" s="293">
        <f>Inputs!G91</f>
        <v>0</v>
      </c>
      <c r="L91" s="305" t="e">
        <f>LOOKUP(C91,Lookups!AU$5:AU$18,Lookups!AY$5:AY$18)</f>
        <v>#N/A</v>
      </c>
      <c r="M91" s="303" t="e">
        <f>LOOKUP(C91,Lookups!AU$5:AU$18,Lookups!AZ$5:AZ$18)</f>
        <v>#N/A</v>
      </c>
      <c r="N91" s="303" t="e">
        <f>LOOKUP(B91,Lookups!A$5:A$265,Lookups!J$5:J$265)*1.25</f>
        <v>#N/A</v>
      </c>
      <c r="O91" s="300" t="e">
        <f>(F91*L91)+(G91*M91)+((F91+G91)*N91)+(K91*Lookups!AY$23)</f>
        <v>#N/A</v>
      </c>
      <c r="P91" s="315">
        <f>IF(H91="Y",Inputs!M91*L91,0)</f>
        <v>0</v>
      </c>
      <c r="Q91" s="315">
        <f>(I91*Lookups!AW$23)+(J91*Lookups!AX$23)</f>
        <v>0</v>
      </c>
      <c r="R91" s="315">
        <f t="shared" si="4"/>
        <v>0</v>
      </c>
      <c r="S91" s="315" t="e">
        <f t="shared" si="5"/>
        <v>#N/A</v>
      </c>
    </row>
    <row r="92" spans="1:19" x14ac:dyDescent="0.2">
      <c r="A92" s="335">
        <f>Inputs!A92</f>
        <v>0</v>
      </c>
      <c r="B92" s="307">
        <f>Inputs!B92</f>
        <v>0</v>
      </c>
      <c r="C92" s="101">
        <f>Inputs!C92</f>
        <v>0</v>
      </c>
      <c r="D92" s="101">
        <f>Inputs!E92</f>
        <v>0</v>
      </c>
      <c r="E92" s="293">
        <f>Inputs!F92</f>
        <v>0</v>
      </c>
      <c r="F92" s="100">
        <f>IF(Inputs!N92&lt;(Inputs!K92*12),Inputs!N92/12,Inputs!K92)</f>
        <v>0</v>
      </c>
      <c r="G92" s="293">
        <f>IF(Inputs!N92&lt;(Inputs!K92*12),0,(Inputs!N92/12)-Inputs!K92)</f>
        <v>0</v>
      </c>
      <c r="H92" s="100" t="str">
        <f>IF(Inputs!F92="Plug Pile Wall","Y","N")</f>
        <v>N</v>
      </c>
      <c r="I92" s="101">
        <f>IF(Inputs!F92="Precast Lagging",Inputs!M92,0)</f>
        <v>0</v>
      </c>
      <c r="J92" s="101">
        <f>IF(Inputs!F92="Timber Lagging",Inputs!M92,0)</f>
        <v>0</v>
      </c>
      <c r="K92" s="293">
        <f>Inputs!G92</f>
        <v>0</v>
      </c>
      <c r="L92" s="305" t="e">
        <f>LOOKUP(C92,Lookups!AU$5:AU$18,Lookups!AY$5:AY$18)</f>
        <v>#N/A</v>
      </c>
      <c r="M92" s="303" t="e">
        <f>LOOKUP(C92,Lookups!AU$5:AU$18,Lookups!AZ$5:AZ$18)</f>
        <v>#N/A</v>
      </c>
      <c r="N92" s="303" t="e">
        <f>LOOKUP(B92,Lookups!A$5:A$265,Lookups!J$5:J$265)*1.25</f>
        <v>#N/A</v>
      </c>
      <c r="O92" s="300" t="e">
        <f>(F92*L92)+(G92*M92)+((F92+G92)*N92)+(K92*Lookups!AY$23)</f>
        <v>#N/A</v>
      </c>
      <c r="P92" s="315">
        <f>IF(H92="Y",Inputs!M92*L92,0)</f>
        <v>0</v>
      </c>
      <c r="Q92" s="315">
        <f>(I92*Lookups!AW$23)+(J92*Lookups!AX$23)</f>
        <v>0</v>
      </c>
      <c r="R92" s="315">
        <f t="shared" si="4"/>
        <v>0</v>
      </c>
      <c r="S92" s="315" t="e">
        <f t="shared" si="5"/>
        <v>#N/A</v>
      </c>
    </row>
    <row r="93" spans="1:19" x14ac:dyDescent="0.2">
      <c r="A93" s="335">
        <f>Inputs!A93</f>
        <v>0</v>
      </c>
      <c r="B93" s="307">
        <f>Inputs!B93</f>
        <v>0</v>
      </c>
      <c r="C93" s="101">
        <f>Inputs!C93</f>
        <v>0</v>
      </c>
      <c r="D93" s="101">
        <f>Inputs!E93</f>
        <v>0</v>
      </c>
      <c r="E93" s="293">
        <f>Inputs!F93</f>
        <v>0</v>
      </c>
      <c r="F93" s="100">
        <f>IF(Inputs!N93&lt;(Inputs!K93*12),Inputs!N93/12,Inputs!K93)</f>
        <v>0</v>
      </c>
      <c r="G93" s="293">
        <f>IF(Inputs!N93&lt;(Inputs!K93*12),0,(Inputs!N93/12)-Inputs!K93)</f>
        <v>0</v>
      </c>
      <c r="H93" s="100" t="str">
        <f>IF(Inputs!F93="Plug Pile Wall","Y","N")</f>
        <v>N</v>
      </c>
      <c r="I93" s="101">
        <f>IF(Inputs!F93="Precast Lagging",Inputs!M93,0)</f>
        <v>0</v>
      </c>
      <c r="J93" s="101">
        <f>IF(Inputs!F93="Timber Lagging",Inputs!M93,0)</f>
        <v>0</v>
      </c>
      <c r="K93" s="293">
        <f>Inputs!G93</f>
        <v>0</v>
      </c>
      <c r="L93" s="305" t="e">
        <f>LOOKUP(C93,Lookups!AU$5:AU$18,Lookups!AY$5:AY$18)</f>
        <v>#N/A</v>
      </c>
      <c r="M93" s="303" t="e">
        <f>LOOKUP(C93,Lookups!AU$5:AU$18,Lookups!AZ$5:AZ$18)</f>
        <v>#N/A</v>
      </c>
      <c r="N93" s="303" t="e">
        <f>LOOKUP(B93,Lookups!A$5:A$265,Lookups!J$5:J$265)*1.25</f>
        <v>#N/A</v>
      </c>
      <c r="O93" s="300" t="e">
        <f>(F93*L93)+(G93*M93)+((F93+G93)*N93)+(K93*Lookups!AY$23)</f>
        <v>#N/A</v>
      </c>
      <c r="P93" s="315">
        <f>IF(H93="Y",Inputs!M93*L93,0)</f>
        <v>0</v>
      </c>
      <c r="Q93" s="315">
        <f>(I93*Lookups!AW$23)+(J93*Lookups!AX$23)</f>
        <v>0</v>
      </c>
      <c r="R93" s="315">
        <f t="shared" si="4"/>
        <v>0</v>
      </c>
      <c r="S93" s="315" t="e">
        <f t="shared" si="5"/>
        <v>#N/A</v>
      </c>
    </row>
    <row r="94" spans="1:19" x14ac:dyDescent="0.2">
      <c r="A94" s="335">
        <f>Inputs!A94</f>
        <v>0</v>
      </c>
      <c r="B94" s="307">
        <f>Inputs!B94</f>
        <v>0</v>
      </c>
      <c r="C94" s="101">
        <f>Inputs!C94</f>
        <v>0</v>
      </c>
      <c r="D94" s="101">
        <f>Inputs!E94</f>
        <v>0</v>
      </c>
      <c r="E94" s="293">
        <f>Inputs!F94</f>
        <v>0</v>
      </c>
      <c r="F94" s="100">
        <f>IF(Inputs!N94&lt;(Inputs!K94*12),Inputs!N94/12,Inputs!K94)</f>
        <v>0</v>
      </c>
      <c r="G94" s="293">
        <f>IF(Inputs!N94&lt;(Inputs!K94*12),0,(Inputs!N94/12)-Inputs!K94)</f>
        <v>0</v>
      </c>
      <c r="H94" s="100" t="str">
        <f>IF(Inputs!F94="Plug Pile Wall","Y","N")</f>
        <v>N</v>
      </c>
      <c r="I94" s="101">
        <f>IF(Inputs!F94="Precast Lagging",Inputs!M94,0)</f>
        <v>0</v>
      </c>
      <c r="J94" s="101">
        <f>IF(Inputs!F94="Timber Lagging",Inputs!M94,0)</f>
        <v>0</v>
      </c>
      <c r="K94" s="293">
        <f>Inputs!G94</f>
        <v>0</v>
      </c>
      <c r="L94" s="305" t="e">
        <f>LOOKUP(C94,Lookups!AU$5:AU$18,Lookups!AY$5:AY$18)</f>
        <v>#N/A</v>
      </c>
      <c r="M94" s="303" t="e">
        <f>LOOKUP(C94,Lookups!AU$5:AU$18,Lookups!AZ$5:AZ$18)</f>
        <v>#N/A</v>
      </c>
      <c r="N94" s="303" t="e">
        <f>LOOKUP(B94,Lookups!A$5:A$265,Lookups!J$5:J$265)*1.25</f>
        <v>#N/A</v>
      </c>
      <c r="O94" s="300" t="e">
        <f>(F94*L94)+(G94*M94)+((F94+G94)*N94)+(K94*Lookups!AY$23)</f>
        <v>#N/A</v>
      </c>
      <c r="P94" s="315">
        <f>IF(H94="Y",Inputs!M94*L94,0)</f>
        <v>0</v>
      </c>
      <c r="Q94" s="315">
        <f>(I94*Lookups!AW$23)+(J94*Lookups!AX$23)</f>
        <v>0</v>
      </c>
      <c r="R94" s="315">
        <f t="shared" si="4"/>
        <v>0</v>
      </c>
      <c r="S94" s="315" t="e">
        <f t="shared" si="5"/>
        <v>#N/A</v>
      </c>
    </row>
    <row r="95" spans="1:19" x14ac:dyDescent="0.2">
      <c r="A95" s="335">
        <f>Inputs!A95</f>
        <v>0</v>
      </c>
      <c r="B95" s="307">
        <f>Inputs!B95</f>
        <v>0</v>
      </c>
      <c r="C95" s="101">
        <f>Inputs!C95</f>
        <v>0</v>
      </c>
      <c r="D95" s="101">
        <f>Inputs!E95</f>
        <v>0</v>
      </c>
      <c r="E95" s="293">
        <f>Inputs!F95</f>
        <v>0</v>
      </c>
      <c r="F95" s="100">
        <f>IF(Inputs!N95&lt;(Inputs!K95*12),Inputs!N95/12,Inputs!K95)</f>
        <v>0</v>
      </c>
      <c r="G95" s="293">
        <f>IF(Inputs!N95&lt;(Inputs!K95*12),0,(Inputs!N95/12)-Inputs!K95)</f>
        <v>0</v>
      </c>
      <c r="H95" s="100" t="str">
        <f>IF(Inputs!F95="Plug Pile Wall","Y","N")</f>
        <v>N</v>
      </c>
      <c r="I95" s="101">
        <f>IF(Inputs!F95="Precast Lagging",Inputs!M95,0)</f>
        <v>0</v>
      </c>
      <c r="J95" s="101">
        <f>IF(Inputs!F95="Timber Lagging",Inputs!M95,0)</f>
        <v>0</v>
      </c>
      <c r="K95" s="293">
        <f>Inputs!G95</f>
        <v>0</v>
      </c>
      <c r="L95" s="305" t="e">
        <f>LOOKUP(C95,Lookups!AU$5:AU$18,Lookups!AY$5:AY$18)</f>
        <v>#N/A</v>
      </c>
      <c r="M95" s="303" t="e">
        <f>LOOKUP(C95,Lookups!AU$5:AU$18,Lookups!AZ$5:AZ$18)</f>
        <v>#N/A</v>
      </c>
      <c r="N95" s="303" t="e">
        <f>LOOKUP(B95,Lookups!A$5:A$265,Lookups!J$5:J$265)*1.25</f>
        <v>#N/A</v>
      </c>
      <c r="O95" s="300" t="e">
        <f>(F95*L95)+(G95*M95)+((F95+G95)*N95)+(K95*Lookups!AY$23)</f>
        <v>#N/A</v>
      </c>
      <c r="P95" s="315">
        <f>IF(H95="Y",Inputs!M95*L95,0)</f>
        <v>0</v>
      </c>
      <c r="Q95" s="315">
        <f>(I95*Lookups!AW$23)+(J95*Lookups!AX$23)</f>
        <v>0</v>
      </c>
      <c r="R95" s="315">
        <f t="shared" si="4"/>
        <v>0</v>
      </c>
      <c r="S95" s="315" t="e">
        <f t="shared" si="5"/>
        <v>#N/A</v>
      </c>
    </row>
    <row r="96" spans="1:19" x14ac:dyDescent="0.2">
      <c r="A96" s="335">
        <f>Inputs!A96</f>
        <v>0</v>
      </c>
      <c r="B96" s="307">
        <f>Inputs!B96</f>
        <v>0</v>
      </c>
      <c r="C96" s="101">
        <f>Inputs!C96</f>
        <v>0</v>
      </c>
      <c r="D96" s="101">
        <f>Inputs!E96</f>
        <v>0</v>
      </c>
      <c r="E96" s="293">
        <f>Inputs!F96</f>
        <v>0</v>
      </c>
      <c r="F96" s="100">
        <f>IF(Inputs!N96&lt;(Inputs!K96*12),Inputs!N96/12,Inputs!K96)</f>
        <v>0</v>
      </c>
      <c r="G96" s="293">
        <f>IF(Inputs!N96&lt;(Inputs!K96*12),0,(Inputs!N96/12)-Inputs!K96)</f>
        <v>0</v>
      </c>
      <c r="H96" s="100" t="str">
        <f>IF(Inputs!F96="Plug Pile Wall","Y","N")</f>
        <v>N</v>
      </c>
      <c r="I96" s="101">
        <f>IF(Inputs!F96="Precast Lagging",Inputs!M96,0)</f>
        <v>0</v>
      </c>
      <c r="J96" s="101">
        <f>IF(Inputs!F96="Timber Lagging",Inputs!M96,0)</f>
        <v>0</v>
      </c>
      <c r="K96" s="293">
        <f>Inputs!G96</f>
        <v>0</v>
      </c>
      <c r="L96" s="305" t="e">
        <f>LOOKUP(C96,Lookups!AU$5:AU$18,Lookups!AY$5:AY$18)</f>
        <v>#N/A</v>
      </c>
      <c r="M96" s="303" t="e">
        <f>LOOKUP(C96,Lookups!AU$5:AU$18,Lookups!AZ$5:AZ$18)</f>
        <v>#N/A</v>
      </c>
      <c r="N96" s="303" t="e">
        <f>LOOKUP(B96,Lookups!A$5:A$265,Lookups!J$5:J$265)*1.25</f>
        <v>#N/A</v>
      </c>
      <c r="O96" s="300" t="e">
        <f>(F96*L96)+(G96*M96)+((F96+G96)*N96)+(K96*Lookups!AY$23)</f>
        <v>#N/A</v>
      </c>
      <c r="P96" s="315">
        <f>IF(H96="Y",Inputs!M96*L96,0)</f>
        <v>0</v>
      </c>
      <c r="Q96" s="315">
        <f>(I96*Lookups!AW$23)+(J96*Lookups!AX$23)</f>
        <v>0</v>
      </c>
      <c r="R96" s="315">
        <f t="shared" si="4"/>
        <v>0</v>
      </c>
      <c r="S96" s="315" t="e">
        <f t="shared" si="5"/>
        <v>#N/A</v>
      </c>
    </row>
    <row r="97" spans="1:19" x14ac:dyDescent="0.2">
      <c r="A97" s="335">
        <f>Inputs!A97</f>
        <v>0</v>
      </c>
      <c r="B97" s="307">
        <f>Inputs!B97</f>
        <v>0</v>
      </c>
      <c r="C97" s="101">
        <f>Inputs!C97</f>
        <v>0</v>
      </c>
      <c r="D97" s="101">
        <f>Inputs!E97</f>
        <v>0</v>
      </c>
      <c r="E97" s="293">
        <f>Inputs!F97</f>
        <v>0</v>
      </c>
      <c r="F97" s="100">
        <f>IF(Inputs!N97&lt;(Inputs!K97*12),Inputs!N97/12,Inputs!K97)</f>
        <v>0</v>
      </c>
      <c r="G97" s="293">
        <f>IF(Inputs!N97&lt;(Inputs!K97*12),0,(Inputs!N97/12)-Inputs!K97)</f>
        <v>0</v>
      </c>
      <c r="H97" s="100" t="str">
        <f>IF(Inputs!F97="Plug Pile Wall","Y","N")</f>
        <v>N</v>
      </c>
      <c r="I97" s="101">
        <f>IF(Inputs!F97="Precast Lagging",Inputs!M97,0)</f>
        <v>0</v>
      </c>
      <c r="J97" s="101">
        <f>IF(Inputs!F97="Timber Lagging",Inputs!M97,0)</f>
        <v>0</v>
      </c>
      <c r="K97" s="293">
        <f>Inputs!G97</f>
        <v>0</v>
      </c>
      <c r="L97" s="305" t="e">
        <f>LOOKUP(C97,Lookups!AU$5:AU$18,Lookups!AY$5:AY$18)</f>
        <v>#N/A</v>
      </c>
      <c r="M97" s="303" t="e">
        <f>LOOKUP(C97,Lookups!AU$5:AU$18,Lookups!AZ$5:AZ$18)</f>
        <v>#N/A</v>
      </c>
      <c r="N97" s="303" t="e">
        <f>LOOKUP(B97,Lookups!A$5:A$265,Lookups!J$5:J$265)*1.25</f>
        <v>#N/A</v>
      </c>
      <c r="O97" s="300" t="e">
        <f>(F97*L97)+(G97*M97)+((F97+G97)*N97)+(K97*Lookups!AY$23)</f>
        <v>#N/A</v>
      </c>
      <c r="P97" s="315">
        <f>IF(H97="Y",Inputs!M97*L97,0)</f>
        <v>0</v>
      </c>
      <c r="Q97" s="315">
        <f>(I97*Lookups!AW$23)+(J97*Lookups!AX$23)</f>
        <v>0</v>
      </c>
      <c r="R97" s="315">
        <f t="shared" si="4"/>
        <v>0</v>
      </c>
      <c r="S97" s="315" t="e">
        <f t="shared" si="5"/>
        <v>#N/A</v>
      </c>
    </row>
    <row r="98" spans="1:19" x14ac:dyDescent="0.2">
      <c r="A98" s="335">
        <f>Inputs!A98</f>
        <v>0</v>
      </c>
      <c r="B98" s="307">
        <f>Inputs!B98</f>
        <v>0</v>
      </c>
      <c r="C98" s="101">
        <f>Inputs!C98</f>
        <v>0</v>
      </c>
      <c r="D98" s="101">
        <f>Inputs!E98</f>
        <v>0</v>
      </c>
      <c r="E98" s="293">
        <f>Inputs!F98</f>
        <v>0</v>
      </c>
      <c r="F98" s="100">
        <f>IF(Inputs!N98&lt;(Inputs!K98*12),Inputs!N98/12,Inputs!K98)</f>
        <v>0</v>
      </c>
      <c r="G98" s="293">
        <f>IF(Inputs!N98&lt;(Inputs!K98*12),0,(Inputs!N98/12)-Inputs!K98)</f>
        <v>0</v>
      </c>
      <c r="H98" s="100" t="str">
        <f>IF(Inputs!F98="Plug Pile Wall","Y","N")</f>
        <v>N</v>
      </c>
      <c r="I98" s="101">
        <f>IF(Inputs!F98="Precast Lagging",Inputs!M98,0)</f>
        <v>0</v>
      </c>
      <c r="J98" s="101">
        <f>IF(Inputs!F98="Timber Lagging",Inputs!M98,0)</f>
        <v>0</v>
      </c>
      <c r="K98" s="293">
        <f>Inputs!G98</f>
        <v>0</v>
      </c>
      <c r="L98" s="305" t="e">
        <f>LOOKUP(C98,Lookups!AU$5:AU$18,Lookups!AY$5:AY$18)</f>
        <v>#N/A</v>
      </c>
      <c r="M98" s="303" t="e">
        <f>LOOKUP(C98,Lookups!AU$5:AU$18,Lookups!AZ$5:AZ$18)</f>
        <v>#N/A</v>
      </c>
      <c r="N98" s="303" t="e">
        <f>LOOKUP(B98,Lookups!A$5:A$265,Lookups!J$5:J$265)*1.25</f>
        <v>#N/A</v>
      </c>
      <c r="O98" s="300" t="e">
        <f>(F98*L98)+(G98*M98)+((F98+G98)*N98)+(K98*Lookups!AY$23)</f>
        <v>#N/A</v>
      </c>
      <c r="P98" s="315">
        <f>IF(H98="Y",Inputs!M98*L98,0)</f>
        <v>0</v>
      </c>
      <c r="Q98" s="315">
        <f>(I98*Lookups!AW$23)+(J98*Lookups!AX$23)</f>
        <v>0</v>
      </c>
      <c r="R98" s="315">
        <f t="shared" si="4"/>
        <v>0</v>
      </c>
      <c r="S98" s="315" t="e">
        <f t="shared" si="5"/>
        <v>#N/A</v>
      </c>
    </row>
    <row r="99" spans="1:19" x14ac:dyDescent="0.2">
      <c r="A99" s="335">
        <f>Inputs!A99</f>
        <v>0</v>
      </c>
      <c r="B99" s="307">
        <f>Inputs!B99</f>
        <v>0</v>
      </c>
      <c r="C99" s="101">
        <f>Inputs!C99</f>
        <v>0</v>
      </c>
      <c r="D99" s="101">
        <f>Inputs!E99</f>
        <v>0</v>
      </c>
      <c r="E99" s="293">
        <f>Inputs!F99</f>
        <v>0</v>
      </c>
      <c r="F99" s="100">
        <f>IF(Inputs!N99&lt;(Inputs!K99*12),Inputs!N99/12,Inputs!K99)</f>
        <v>0</v>
      </c>
      <c r="G99" s="293">
        <f>IF(Inputs!N99&lt;(Inputs!K99*12),0,(Inputs!N99/12)-Inputs!K99)</f>
        <v>0</v>
      </c>
      <c r="H99" s="100" t="str">
        <f>IF(Inputs!F99="Plug Pile Wall","Y","N")</f>
        <v>N</v>
      </c>
      <c r="I99" s="101">
        <f>IF(Inputs!F99="Precast Lagging",Inputs!M99,0)</f>
        <v>0</v>
      </c>
      <c r="J99" s="101">
        <f>IF(Inputs!F99="Timber Lagging",Inputs!M99,0)</f>
        <v>0</v>
      </c>
      <c r="K99" s="293">
        <f>Inputs!G99</f>
        <v>0</v>
      </c>
      <c r="L99" s="305" t="e">
        <f>LOOKUP(C99,Lookups!AU$5:AU$18,Lookups!AY$5:AY$18)</f>
        <v>#N/A</v>
      </c>
      <c r="M99" s="303" t="e">
        <f>LOOKUP(C99,Lookups!AU$5:AU$18,Lookups!AZ$5:AZ$18)</f>
        <v>#N/A</v>
      </c>
      <c r="N99" s="303" t="e">
        <f>LOOKUP(B99,Lookups!A$5:A$265,Lookups!J$5:J$265)*1.25</f>
        <v>#N/A</v>
      </c>
      <c r="O99" s="300" t="e">
        <f>(F99*L99)+(G99*M99)+((F99+G99)*N99)+(K99*Lookups!AY$23)</f>
        <v>#N/A</v>
      </c>
      <c r="P99" s="315">
        <f>IF(H99="Y",Inputs!M99*L99,0)</f>
        <v>0</v>
      </c>
      <c r="Q99" s="315">
        <f>(I99*Lookups!AW$23)+(J99*Lookups!AX$23)</f>
        <v>0</v>
      </c>
      <c r="R99" s="315">
        <f t="shared" si="4"/>
        <v>0</v>
      </c>
      <c r="S99" s="315" t="e">
        <f t="shared" si="5"/>
        <v>#N/A</v>
      </c>
    </row>
    <row r="100" spans="1:19" x14ac:dyDescent="0.2">
      <c r="A100" s="335">
        <f>Inputs!A100</f>
        <v>0</v>
      </c>
      <c r="B100" s="307">
        <f>Inputs!B100</f>
        <v>0</v>
      </c>
      <c r="C100" s="101">
        <f>Inputs!C100</f>
        <v>0</v>
      </c>
      <c r="D100" s="101">
        <f>Inputs!E100</f>
        <v>0</v>
      </c>
      <c r="E100" s="293">
        <f>Inputs!F100</f>
        <v>0</v>
      </c>
      <c r="F100" s="100">
        <f>IF(Inputs!N100&lt;(Inputs!K100*12),Inputs!N100/12,Inputs!K100)</f>
        <v>0</v>
      </c>
      <c r="G100" s="293">
        <f>IF(Inputs!N100&lt;(Inputs!K100*12),0,(Inputs!N100/12)-Inputs!K100)</f>
        <v>0</v>
      </c>
      <c r="H100" s="100" t="str">
        <f>IF(Inputs!F100="Plug Pile Wall","Y","N")</f>
        <v>N</v>
      </c>
      <c r="I100" s="101">
        <f>IF(Inputs!F100="Precast Lagging",Inputs!M100,0)</f>
        <v>0</v>
      </c>
      <c r="J100" s="101">
        <f>IF(Inputs!F100="Timber Lagging",Inputs!M100,0)</f>
        <v>0</v>
      </c>
      <c r="K100" s="293">
        <f>Inputs!G100</f>
        <v>0</v>
      </c>
      <c r="L100" s="305" t="e">
        <f>LOOKUP(C100,Lookups!AU$5:AU$18,Lookups!AY$5:AY$18)</f>
        <v>#N/A</v>
      </c>
      <c r="M100" s="303" t="e">
        <f>LOOKUP(C100,Lookups!AU$5:AU$18,Lookups!AZ$5:AZ$18)</f>
        <v>#N/A</v>
      </c>
      <c r="N100" s="303" t="e">
        <f>LOOKUP(B100,Lookups!A$5:A$265,Lookups!J$5:J$265)*1.25</f>
        <v>#N/A</v>
      </c>
      <c r="O100" s="300" t="e">
        <f>(F100*L100)+(G100*M100)+((F100+G100)*N100)+(K100*Lookups!AY$23)</f>
        <v>#N/A</v>
      </c>
      <c r="P100" s="315">
        <f>IF(H100="Y",Inputs!M100*L100,0)</f>
        <v>0</v>
      </c>
      <c r="Q100" s="315">
        <f>(I100*Lookups!AW$23)+(J100*Lookups!AX$23)</f>
        <v>0</v>
      </c>
      <c r="R100" s="315">
        <f t="shared" si="4"/>
        <v>0</v>
      </c>
      <c r="S100" s="315" t="e">
        <f t="shared" si="5"/>
        <v>#N/A</v>
      </c>
    </row>
    <row r="101" spans="1:19" x14ac:dyDescent="0.2">
      <c r="A101" s="335">
        <f>Inputs!A101</f>
        <v>0</v>
      </c>
      <c r="B101" s="307">
        <f>Inputs!B101</f>
        <v>0</v>
      </c>
      <c r="C101" s="101">
        <f>Inputs!C101</f>
        <v>0</v>
      </c>
      <c r="D101" s="101">
        <f>Inputs!E101</f>
        <v>0</v>
      </c>
      <c r="E101" s="293">
        <f>Inputs!F101</f>
        <v>0</v>
      </c>
      <c r="F101" s="100">
        <f>IF(Inputs!N101&lt;(Inputs!K101*12),Inputs!N101/12,Inputs!K101)</f>
        <v>0</v>
      </c>
      <c r="G101" s="293">
        <f>IF(Inputs!N101&lt;(Inputs!K101*12),0,(Inputs!N101/12)-Inputs!K101)</f>
        <v>0</v>
      </c>
      <c r="H101" s="100" t="str">
        <f>IF(Inputs!F101="Plug Pile Wall","Y","N")</f>
        <v>N</v>
      </c>
      <c r="I101" s="101">
        <f>IF(Inputs!F101="Precast Lagging",Inputs!M101,0)</f>
        <v>0</v>
      </c>
      <c r="J101" s="101">
        <f>IF(Inputs!F101="Timber Lagging",Inputs!M101,0)</f>
        <v>0</v>
      </c>
      <c r="K101" s="293">
        <f>Inputs!G101</f>
        <v>0</v>
      </c>
      <c r="L101" s="305" t="e">
        <f>LOOKUP(C101,Lookups!AU$5:AU$18,Lookups!AY$5:AY$18)</f>
        <v>#N/A</v>
      </c>
      <c r="M101" s="303" t="e">
        <f>LOOKUP(C101,Lookups!AU$5:AU$18,Lookups!AZ$5:AZ$18)</f>
        <v>#N/A</v>
      </c>
      <c r="N101" s="303" t="e">
        <f>LOOKUP(B101,Lookups!A$5:A$265,Lookups!J$5:J$265)*1.25</f>
        <v>#N/A</v>
      </c>
      <c r="O101" s="300" t="e">
        <f>(F101*L101)+(G101*M101)+((F101+G101)*N101)+(K101*Lookups!AY$23)</f>
        <v>#N/A</v>
      </c>
      <c r="P101" s="315">
        <f>IF(H101="Y",Inputs!M101*L101,0)</f>
        <v>0</v>
      </c>
      <c r="Q101" s="315">
        <f>(I101*Lookups!AW$23)+(J101*Lookups!AX$23)</f>
        <v>0</v>
      </c>
      <c r="R101" s="315">
        <f t="shared" si="4"/>
        <v>0</v>
      </c>
      <c r="S101" s="315" t="e">
        <f t="shared" si="5"/>
        <v>#N/A</v>
      </c>
    </row>
    <row r="102" spans="1:19" x14ac:dyDescent="0.2">
      <c r="A102" s="335">
        <f>Inputs!A102</f>
        <v>0</v>
      </c>
      <c r="B102" s="307">
        <f>Inputs!B102</f>
        <v>0</v>
      </c>
      <c r="C102" s="101">
        <f>Inputs!C102</f>
        <v>0</v>
      </c>
      <c r="D102" s="101">
        <f>Inputs!E102</f>
        <v>0</v>
      </c>
      <c r="E102" s="293">
        <f>Inputs!F102</f>
        <v>0</v>
      </c>
      <c r="F102" s="100">
        <f>IF(Inputs!N102&lt;(Inputs!K102*12),Inputs!N102/12,Inputs!K102)</f>
        <v>0</v>
      </c>
      <c r="G102" s="293">
        <f>IF(Inputs!N102&lt;(Inputs!K102*12),0,(Inputs!N102/12)-Inputs!K102)</f>
        <v>0</v>
      </c>
      <c r="H102" s="100" t="str">
        <f>IF(Inputs!F102="Plug Pile Wall","Y","N")</f>
        <v>N</v>
      </c>
      <c r="I102" s="101">
        <f>IF(Inputs!F102="Precast Lagging",Inputs!M102,0)</f>
        <v>0</v>
      </c>
      <c r="J102" s="101">
        <f>IF(Inputs!F102="Timber Lagging",Inputs!M102,0)</f>
        <v>0</v>
      </c>
      <c r="K102" s="293">
        <f>Inputs!G102</f>
        <v>0</v>
      </c>
      <c r="L102" s="305" t="e">
        <f>LOOKUP(C102,Lookups!AU$5:AU$18,Lookups!AY$5:AY$18)</f>
        <v>#N/A</v>
      </c>
      <c r="M102" s="303" t="e">
        <f>LOOKUP(C102,Lookups!AU$5:AU$18,Lookups!AZ$5:AZ$18)</f>
        <v>#N/A</v>
      </c>
      <c r="N102" s="303" t="e">
        <f>LOOKUP(B102,Lookups!A$5:A$265,Lookups!J$5:J$265)*1.25</f>
        <v>#N/A</v>
      </c>
      <c r="O102" s="300" t="e">
        <f>(F102*L102)+(G102*M102)+((F102+G102)*N102)+(K102*Lookups!AY$23)</f>
        <v>#N/A</v>
      </c>
      <c r="P102" s="315">
        <f>IF(H102="Y",Inputs!M102*L102,0)</f>
        <v>0</v>
      </c>
      <c r="Q102" s="315">
        <f>(I102*Lookups!AW$23)+(J102*Lookups!AX$23)</f>
        <v>0</v>
      </c>
      <c r="R102" s="315">
        <f t="shared" si="4"/>
        <v>0</v>
      </c>
      <c r="S102" s="315" t="e">
        <f t="shared" si="5"/>
        <v>#N/A</v>
      </c>
    </row>
    <row r="103" spans="1:19" x14ac:dyDescent="0.2">
      <c r="A103" s="335">
        <f>Inputs!A103</f>
        <v>0</v>
      </c>
      <c r="B103" s="307">
        <f>Inputs!B103</f>
        <v>0</v>
      </c>
      <c r="C103" s="101">
        <f>Inputs!C103</f>
        <v>0</v>
      </c>
      <c r="D103" s="101">
        <f>Inputs!E103</f>
        <v>0</v>
      </c>
      <c r="E103" s="293">
        <f>Inputs!F103</f>
        <v>0</v>
      </c>
      <c r="F103" s="100">
        <f>IF(Inputs!N103&lt;(Inputs!K103*12),Inputs!N103/12,Inputs!K103)</f>
        <v>0</v>
      </c>
      <c r="G103" s="293">
        <f>IF(Inputs!N103&lt;(Inputs!K103*12),0,(Inputs!N103/12)-Inputs!K103)</f>
        <v>0</v>
      </c>
      <c r="H103" s="100" t="str">
        <f>IF(Inputs!F103="Plug Pile Wall","Y","N")</f>
        <v>N</v>
      </c>
      <c r="I103" s="101">
        <f>IF(Inputs!F103="Precast Lagging",Inputs!M103,0)</f>
        <v>0</v>
      </c>
      <c r="J103" s="101">
        <f>IF(Inputs!F103="Timber Lagging",Inputs!M103,0)</f>
        <v>0</v>
      </c>
      <c r="K103" s="293">
        <f>Inputs!G103</f>
        <v>0</v>
      </c>
      <c r="L103" s="305" t="e">
        <f>LOOKUP(C103,Lookups!AU$5:AU$18,Lookups!AY$5:AY$18)</f>
        <v>#N/A</v>
      </c>
      <c r="M103" s="303" t="e">
        <f>LOOKUP(C103,Lookups!AU$5:AU$18,Lookups!AZ$5:AZ$18)</f>
        <v>#N/A</v>
      </c>
      <c r="N103" s="303" t="e">
        <f>LOOKUP(B103,Lookups!A$5:A$265,Lookups!J$5:J$265)*1.25</f>
        <v>#N/A</v>
      </c>
      <c r="O103" s="300" t="e">
        <f>(F103*L103)+(G103*M103)+((F103+G103)*N103)+(K103*Lookups!AY$23)</f>
        <v>#N/A</v>
      </c>
      <c r="P103" s="315">
        <f>IF(H103="Y",Inputs!M103*L103,0)</f>
        <v>0</v>
      </c>
      <c r="Q103" s="315">
        <f>(I103*Lookups!AW$23)+(J103*Lookups!AX$23)</f>
        <v>0</v>
      </c>
      <c r="R103" s="315">
        <f t="shared" si="4"/>
        <v>0</v>
      </c>
      <c r="S103" s="315" t="e">
        <f t="shared" si="5"/>
        <v>#N/A</v>
      </c>
    </row>
    <row r="104" spans="1:19" x14ac:dyDescent="0.2">
      <c r="A104" s="335">
        <f>Inputs!A104</f>
        <v>0</v>
      </c>
      <c r="B104" s="307">
        <f>Inputs!B104</f>
        <v>0</v>
      </c>
      <c r="C104" s="101">
        <f>Inputs!C104</f>
        <v>0</v>
      </c>
      <c r="D104" s="101">
        <f>Inputs!E104</f>
        <v>0</v>
      </c>
      <c r="E104" s="293">
        <f>Inputs!F104</f>
        <v>0</v>
      </c>
      <c r="F104" s="100">
        <f>IF(Inputs!N104&lt;(Inputs!K104*12),Inputs!N104/12,Inputs!K104)</f>
        <v>0</v>
      </c>
      <c r="G104" s="293">
        <f>IF(Inputs!N104&lt;(Inputs!K104*12),0,(Inputs!N104/12)-Inputs!K104)</f>
        <v>0</v>
      </c>
      <c r="H104" s="100" t="str">
        <f>IF(Inputs!F104="Plug Pile Wall","Y","N")</f>
        <v>N</v>
      </c>
      <c r="I104" s="101">
        <f>IF(Inputs!F104="Precast Lagging",Inputs!M104,0)</f>
        <v>0</v>
      </c>
      <c r="J104" s="101">
        <f>IF(Inputs!F104="Timber Lagging",Inputs!M104,0)</f>
        <v>0</v>
      </c>
      <c r="K104" s="293">
        <f>Inputs!G104</f>
        <v>0</v>
      </c>
      <c r="L104" s="305" t="e">
        <f>LOOKUP(C104,Lookups!AU$5:AU$18,Lookups!AY$5:AY$18)</f>
        <v>#N/A</v>
      </c>
      <c r="M104" s="303" t="e">
        <f>LOOKUP(C104,Lookups!AU$5:AU$18,Lookups!AZ$5:AZ$18)</f>
        <v>#N/A</v>
      </c>
      <c r="N104" s="303" t="e">
        <f>LOOKUP(B104,Lookups!A$5:A$265,Lookups!J$5:J$265)*1.25</f>
        <v>#N/A</v>
      </c>
      <c r="O104" s="300" t="e">
        <f>(F104*L104)+(G104*M104)+((F104+G104)*N104)+(K104*Lookups!AY$23)</f>
        <v>#N/A</v>
      </c>
      <c r="P104" s="315">
        <f>IF(H104="Y",Inputs!M104*L104,0)</f>
        <v>0</v>
      </c>
      <c r="Q104" s="315">
        <f>(I104*Lookups!AW$23)+(J104*Lookups!AX$23)</f>
        <v>0</v>
      </c>
      <c r="R104" s="315">
        <f t="shared" si="4"/>
        <v>0</v>
      </c>
      <c r="S104" s="315" t="e">
        <f t="shared" si="5"/>
        <v>#N/A</v>
      </c>
    </row>
    <row r="105" spans="1:19" x14ac:dyDescent="0.2">
      <c r="A105" s="335">
        <f>Inputs!A105</f>
        <v>0</v>
      </c>
      <c r="B105" s="307">
        <f>Inputs!B105</f>
        <v>0</v>
      </c>
      <c r="C105" s="101">
        <f>Inputs!C105</f>
        <v>0</v>
      </c>
      <c r="D105" s="101">
        <f>Inputs!E105</f>
        <v>0</v>
      </c>
      <c r="E105" s="293">
        <f>Inputs!F105</f>
        <v>0</v>
      </c>
      <c r="F105" s="100">
        <f>IF(Inputs!N105&lt;(Inputs!K105*12),Inputs!N105/12,Inputs!K105)</f>
        <v>0</v>
      </c>
      <c r="G105" s="293">
        <f>IF(Inputs!N105&lt;(Inputs!K105*12),0,(Inputs!N105/12)-Inputs!K105)</f>
        <v>0</v>
      </c>
      <c r="H105" s="100" t="str">
        <f>IF(Inputs!F105="Plug Pile Wall","Y","N")</f>
        <v>N</v>
      </c>
      <c r="I105" s="101">
        <f>IF(Inputs!F105="Precast Lagging",Inputs!M105,0)</f>
        <v>0</v>
      </c>
      <c r="J105" s="101">
        <f>IF(Inputs!F105="Timber Lagging",Inputs!M105,0)</f>
        <v>0</v>
      </c>
      <c r="K105" s="293">
        <f>Inputs!G105</f>
        <v>0</v>
      </c>
      <c r="L105" s="305" t="e">
        <f>LOOKUP(C105,Lookups!AU$5:AU$18,Lookups!AY$5:AY$18)</f>
        <v>#N/A</v>
      </c>
      <c r="M105" s="303" t="e">
        <f>LOOKUP(C105,Lookups!AU$5:AU$18,Lookups!AZ$5:AZ$18)</f>
        <v>#N/A</v>
      </c>
      <c r="N105" s="303" t="e">
        <f>LOOKUP(B105,Lookups!A$5:A$265,Lookups!J$5:J$265)*1.25</f>
        <v>#N/A</v>
      </c>
      <c r="O105" s="300" t="e">
        <f>(F105*L105)+(G105*M105)+((F105+G105)*N105)+(K105*Lookups!AY$23)</f>
        <v>#N/A</v>
      </c>
      <c r="P105" s="315">
        <f>IF(H105="Y",Inputs!M105*L105,0)</f>
        <v>0</v>
      </c>
      <c r="Q105" s="315">
        <f>(I105*Lookups!AW$23)+(J105*Lookups!AX$23)</f>
        <v>0</v>
      </c>
      <c r="R105" s="315">
        <f t="shared" si="4"/>
        <v>0</v>
      </c>
      <c r="S105" s="315" t="e">
        <f t="shared" si="5"/>
        <v>#N/A</v>
      </c>
    </row>
    <row r="106" spans="1:19" x14ac:dyDescent="0.2">
      <c r="A106" s="335">
        <f>Inputs!A106</f>
        <v>0</v>
      </c>
      <c r="B106" s="307">
        <f>Inputs!B106</f>
        <v>0</v>
      </c>
      <c r="C106" s="101">
        <f>Inputs!C106</f>
        <v>0</v>
      </c>
      <c r="D106" s="101">
        <f>Inputs!E106</f>
        <v>0</v>
      </c>
      <c r="E106" s="293">
        <f>Inputs!F106</f>
        <v>0</v>
      </c>
      <c r="F106" s="100">
        <f>IF(Inputs!N106&lt;(Inputs!K106*12),Inputs!N106/12,Inputs!K106)</f>
        <v>0</v>
      </c>
      <c r="G106" s="293">
        <f>IF(Inputs!N106&lt;(Inputs!K106*12),0,(Inputs!N106/12)-Inputs!K106)</f>
        <v>0</v>
      </c>
      <c r="H106" s="100" t="str">
        <f>IF(Inputs!F106="Plug Pile Wall","Y","N")</f>
        <v>N</v>
      </c>
      <c r="I106" s="101">
        <f>IF(Inputs!F106="Precast Lagging",Inputs!M106,0)</f>
        <v>0</v>
      </c>
      <c r="J106" s="101">
        <f>IF(Inputs!F106="Timber Lagging",Inputs!M106,0)</f>
        <v>0</v>
      </c>
      <c r="K106" s="293">
        <f>Inputs!G106</f>
        <v>0</v>
      </c>
      <c r="L106" s="305" t="e">
        <f>LOOKUP(C106,Lookups!AU$5:AU$18,Lookups!AY$5:AY$18)</f>
        <v>#N/A</v>
      </c>
      <c r="M106" s="303" t="e">
        <f>LOOKUP(C106,Lookups!AU$5:AU$18,Lookups!AZ$5:AZ$18)</f>
        <v>#N/A</v>
      </c>
      <c r="N106" s="303" t="e">
        <f>LOOKUP(B106,Lookups!A$5:A$265,Lookups!J$5:J$265)*1.25</f>
        <v>#N/A</v>
      </c>
      <c r="O106" s="300" t="e">
        <f>(F106*L106)+(G106*M106)+((F106+G106)*N106)+(K106*Lookups!AY$23)</f>
        <v>#N/A</v>
      </c>
      <c r="P106" s="315">
        <f>IF(H106="Y",Inputs!M106*L106,0)</f>
        <v>0</v>
      </c>
      <c r="Q106" s="315">
        <f>(I106*Lookups!AW$23)+(J106*Lookups!AX$23)</f>
        <v>0</v>
      </c>
      <c r="R106" s="315">
        <f t="shared" si="4"/>
        <v>0</v>
      </c>
      <c r="S106" s="315" t="e">
        <f t="shared" si="5"/>
        <v>#N/A</v>
      </c>
    </row>
    <row r="107" spans="1:19" x14ac:dyDescent="0.2">
      <c r="A107" s="335">
        <f>Inputs!A107</f>
        <v>0</v>
      </c>
      <c r="B107" s="307">
        <f>Inputs!B107</f>
        <v>0</v>
      </c>
      <c r="C107" s="101">
        <f>Inputs!C107</f>
        <v>0</v>
      </c>
      <c r="D107" s="101">
        <f>Inputs!E107</f>
        <v>0</v>
      </c>
      <c r="E107" s="293">
        <f>Inputs!F107</f>
        <v>0</v>
      </c>
      <c r="F107" s="100">
        <f>IF(Inputs!N107&lt;(Inputs!K107*12),Inputs!N107/12,Inputs!K107)</f>
        <v>0</v>
      </c>
      <c r="G107" s="293">
        <f>IF(Inputs!N107&lt;(Inputs!K107*12),0,(Inputs!N107/12)-Inputs!K107)</f>
        <v>0</v>
      </c>
      <c r="H107" s="100" t="str">
        <f>IF(Inputs!F107="Plug Pile Wall","Y","N")</f>
        <v>N</v>
      </c>
      <c r="I107" s="101">
        <f>IF(Inputs!F107="Precast Lagging",Inputs!M107,0)</f>
        <v>0</v>
      </c>
      <c r="J107" s="101">
        <f>IF(Inputs!F107="Timber Lagging",Inputs!M107,0)</f>
        <v>0</v>
      </c>
      <c r="K107" s="293">
        <f>Inputs!G107</f>
        <v>0</v>
      </c>
      <c r="L107" s="305" t="e">
        <f>LOOKUP(C107,Lookups!AU$5:AU$18,Lookups!AY$5:AY$18)</f>
        <v>#N/A</v>
      </c>
      <c r="M107" s="303" t="e">
        <f>LOOKUP(C107,Lookups!AU$5:AU$18,Lookups!AZ$5:AZ$18)</f>
        <v>#N/A</v>
      </c>
      <c r="N107" s="303" t="e">
        <f>LOOKUP(B107,Lookups!A$5:A$265,Lookups!J$5:J$265)*1.25</f>
        <v>#N/A</v>
      </c>
      <c r="O107" s="300" t="e">
        <f>(F107*L107)+(G107*M107)+((F107+G107)*N107)+(K107*Lookups!AY$23)</f>
        <v>#N/A</v>
      </c>
      <c r="P107" s="315">
        <f>IF(H107="Y",Inputs!M107*L107,0)</f>
        <v>0</v>
      </c>
      <c r="Q107" s="315">
        <f>(I107*Lookups!AW$23)+(J107*Lookups!AX$23)</f>
        <v>0</v>
      </c>
      <c r="R107" s="315">
        <f t="shared" si="4"/>
        <v>0</v>
      </c>
      <c r="S107" s="315" t="e">
        <f t="shared" si="5"/>
        <v>#N/A</v>
      </c>
    </row>
    <row r="108" spans="1:19" x14ac:dyDescent="0.2">
      <c r="A108" s="335">
        <f>Inputs!A108</f>
        <v>0</v>
      </c>
      <c r="B108" s="307">
        <f>Inputs!B108</f>
        <v>0</v>
      </c>
      <c r="C108" s="101">
        <f>Inputs!C108</f>
        <v>0</v>
      </c>
      <c r="D108" s="101">
        <f>Inputs!E108</f>
        <v>0</v>
      </c>
      <c r="E108" s="293">
        <f>Inputs!F108</f>
        <v>0</v>
      </c>
      <c r="F108" s="100">
        <f>IF(Inputs!N108&lt;(Inputs!K108*12),Inputs!N108/12,Inputs!K108)</f>
        <v>0</v>
      </c>
      <c r="G108" s="293">
        <f>IF(Inputs!N108&lt;(Inputs!K108*12),0,(Inputs!N108/12)-Inputs!K108)</f>
        <v>0</v>
      </c>
      <c r="H108" s="100" t="str">
        <f>IF(Inputs!F108="Plug Pile Wall","Y","N")</f>
        <v>N</v>
      </c>
      <c r="I108" s="101">
        <f>IF(Inputs!F108="Precast Lagging",Inputs!M108,0)</f>
        <v>0</v>
      </c>
      <c r="J108" s="101">
        <f>IF(Inputs!F108="Timber Lagging",Inputs!M108,0)</f>
        <v>0</v>
      </c>
      <c r="K108" s="293">
        <f>Inputs!G108</f>
        <v>0</v>
      </c>
      <c r="L108" s="305" t="e">
        <f>LOOKUP(C108,Lookups!AU$5:AU$18,Lookups!AY$5:AY$18)</f>
        <v>#N/A</v>
      </c>
      <c r="M108" s="303" t="e">
        <f>LOOKUP(C108,Lookups!AU$5:AU$18,Lookups!AZ$5:AZ$18)</f>
        <v>#N/A</v>
      </c>
      <c r="N108" s="303" t="e">
        <f>LOOKUP(B108,Lookups!A$5:A$265,Lookups!J$5:J$265)*1.25</f>
        <v>#N/A</v>
      </c>
      <c r="O108" s="300" t="e">
        <f>(F108*L108)+(G108*M108)+((F108+G108)*N108)+(K108*Lookups!AY$23)</f>
        <v>#N/A</v>
      </c>
      <c r="P108" s="315">
        <f>IF(H108="Y",Inputs!M108*L108,0)</f>
        <v>0</v>
      </c>
      <c r="Q108" s="315">
        <f>(I108*Lookups!AW$23)+(J108*Lookups!AX$23)</f>
        <v>0</v>
      </c>
      <c r="R108" s="315">
        <f t="shared" si="4"/>
        <v>0</v>
      </c>
      <c r="S108" s="315" t="e">
        <f t="shared" si="5"/>
        <v>#N/A</v>
      </c>
    </row>
    <row r="109" spans="1:19" x14ac:dyDescent="0.2">
      <c r="A109" s="335">
        <f>Inputs!A109</f>
        <v>0</v>
      </c>
      <c r="B109" s="307">
        <f>Inputs!B109</f>
        <v>0</v>
      </c>
      <c r="C109" s="101">
        <f>Inputs!C109</f>
        <v>0</v>
      </c>
      <c r="D109" s="101">
        <f>Inputs!E109</f>
        <v>0</v>
      </c>
      <c r="E109" s="293">
        <f>Inputs!F109</f>
        <v>0</v>
      </c>
      <c r="F109" s="100">
        <f>IF(Inputs!N109&lt;(Inputs!K109*12),Inputs!N109/12,Inputs!K109)</f>
        <v>0</v>
      </c>
      <c r="G109" s="293">
        <f>IF(Inputs!N109&lt;(Inputs!K109*12),0,(Inputs!N109/12)-Inputs!K109)</f>
        <v>0</v>
      </c>
      <c r="H109" s="100" t="str">
        <f>IF(Inputs!F109="Plug Pile Wall","Y","N")</f>
        <v>N</v>
      </c>
      <c r="I109" s="101">
        <f>IF(Inputs!F109="Precast Lagging",Inputs!M109,0)</f>
        <v>0</v>
      </c>
      <c r="J109" s="101">
        <f>IF(Inputs!F109="Timber Lagging",Inputs!M109,0)</f>
        <v>0</v>
      </c>
      <c r="K109" s="293">
        <f>Inputs!G109</f>
        <v>0</v>
      </c>
      <c r="L109" s="305" t="e">
        <f>LOOKUP(C109,Lookups!AU$5:AU$18,Lookups!AY$5:AY$18)</f>
        <v>#N/A</v>
      </c>
      <c r="M109" s="303" t="e">
        <f>LOOKUP(C109,Lookups!AU$5:AU$18,Lookups!AZ$5:AZ$18)</f>
        <v>#N/A</v>
      </c>
      <c r="N109" s="303" t="e">
        <f>LOOKUP(B109,Lookups!A$5:A$265,Lookups!J$5:J$265)*1.25</f>
        <v>#N/A</v>
      </c>
      <c r="O109" s="300" t="e">
        <f>(F109*L109)+(G109*M109)+((F109+G109)*N109)+(K109*Lookups!AY$23)</f>
        <v>#N/A</v>
      </c>
      <c r="P109" s="315">
        <f>IF(H109="Y",Inputs!M109*L109,0)</f>
        <v>0</v>
      </c>
      <c r="Q109" s="315">
        <f>(I109*Lookups!AW$23)+(J109*Lookups!AX$23)</f>
        <v>0</v>
      </c>
      <c r="R109" s="315">
        <f t="shared" si="4"/>
        <v>0</v>
      </c>
      <c r="S109" s="315" t="e">
        <f t="shared" si="5"/>
        <v>#N/A</v>
      </c>
    </row>
    <row r="110" spans="1:19" x14ac:dyDescent="0.2">
      <c r="A110" s="335">
        <f>Inputs!A110</f>
        <v>0</v>
      </c>
      <c r="B110" s="307">
        <f>Inputs!B110</f>
        <v>0</v>
      </c>
      <c r="C110" s="101">
        <f>Inputs!C110</f>
        <v>0</v>
      </c>
      <c r="D110" s="101">
        <f>Inputs!E110</f>
        <v>0</v>
      </c>
      <c r="E110" s="293">
        <f>Inputs!F110</f>
        <v>0</v>
      </c>
      <c r="F110" s="100">
        <f>IF(Inputs!N110&lt;(Inputs!K110*12),Inputs!N110/12,Inputs!K110)</f>
        <v>0</v>
      </c>
      <c r="G110" s="293">
        <f>IF(Inputs!N110&lt;(Inputs!K110*12),0,(Inputs!N110/12)-Inputs!K110)</f>
        <v>0</v>
      </c>
      <c r="H110" s="100" t="str">
        <f>IF(Inputs!F110="Plug Pile Wall","Y","N")</f>
        <v>N</v>
      </c>
      <c r="I110" s="101">
        <f>IF(Inputs!F110="Precast Lagging",Inputs!M110,0)</f>
        <v>0</v>
      </c>
      <c r="J110" s="101">
        <f>IF(Inputs!F110="Timber Lagging",Inputs!M110,0)</f>
        <v>0</v>
      </c>
      <c r="K110" s="293">
        <f>Inputs!G110</f>
        <v>0</v>
      </c>
      <c r="L110" s="305" t="e">
        <f>LOOKUP(C110,Lookups!AU$5:AU$18,Lookups!AY$5:AY$18)</f>
        <v>#N/A</v>
      </c>
      <c r="M110" s="303" t="e">
        <f>LOOKUP(C110,Lookups!AU$5:AU$18,Lookups!AZ$5:AZ$18)</f>
        <v>#N/A</v>
      </c>
      <c r="N110" s="303" t="e">
        <f>LOOKUP(B110,Lookups!A$5:A$265,Lookups!J$5:J$265)*1.25</f>
        <v>#N/A</v>
      </c>
      <c r="O110" s="300" t="e">
        <f>(F110*L110)+(G110*M110)+((F110+G110)*N110)+(K110*Lookups!AY$23)</f>
        <v>#N/A</v>
      </c>
      <c r="P110" s="315">
        <f>IF(H110="Y",Inputs!M110*L110,0)</f>
        <v>0</v>
      </c>
      <c r="Q110" s="315">
        <f>(I110*Lookups!AW$23)+(J110*Lookups!AX$23)</f>
        <v>0</v>
      </c>
      <c r="R110" s="315">
        <f t="shared" si="4"/>
        <v>0</v>
      </c>
      <c r="S110" s="315" t="e">
        <f t="shared" si="5"/>
        <v>#N/A</v>
      </c>
    </row>
    <row r="111" spans="1:19" x14ac:dyDescent="0.2">
      <c r="A111" s="335">
        <f>Inputs!A111</f>
        <v>0</v>
      </c>
      <c r="B111" s="307">
        <f>Inputs!B111</f>
        <v>0</v>
      </c>
      <c r="C111" s="101">
        <f>Inputs!C111</f>
        <v>0</v>
      </c>
      <c r="D111" s="101">
        <f>Inputs!E111</f>
        <v>0</v>
      </c>
      <c r="E111" s="293">
        <f>Inputs!F111</f>
        <v>0</v>
      </c>
      <c r="F111" s="100">
        <f>IF(Inputs!N111&lt;(Inputs!K111*12),Inputs!N111/12,Inputs!K111)</f>
        <v>0</v>
      </c>
      <c r="G111" s="293">
        <f>IF(Inputs!N111&lt;(Inputs!K111*12),0,(Inputs!N111/12)-Inputs!K111)</f>
        <v>0</v>
      </c>
      <c r="H111" s="100" t="str">
        <f>IF(Inputs!F111="Plug Pile Wall","Y","N")</f>
        <v>N</v>
      </c>
      <c r="I111" s="101">
        <f>IF(Inputs!F111="Precast Lagging",Inputs!M111,0)</f>
        <v>0</v>
      </c>
      <c r="J111" s="101">
        <f>IF(Inputs!F111="Timber Lagging",Inputs!M111,0)</f>
        <v>0</v>
      </c>
      <c r="K111" s="293">
        <f>Inputs!G111</f>
        <v>0</v>
      </c>
      <c r="L111" s="305" t="e">
        <f>LOOKUP(C111,Lookups!AU$5:AU$18,Lookups!AY$5:AY$18)</f>
        <v>#N/A</v>
      </c>
      <c r="M111" s="303" t="e">
        <f>LOOKUP(C111,Lookups!AU$5:AU$18,Lookups!AZ$5:AZ$18)</f>
        <v>#N/A</v>
      </c>
      <c r="N111" s="303" t="e">
        <f>LOOKUP(B111,Lookups!A$5:A$265,Lookups!J$5:J$265)*1.25</f>
        <v>#N/A</v>
      </c>
      <c r="O111" s="300" t="e">
        <f>(F111*L111)+(G111*M111)+((F111+G111)*N111)+(K111*Lookups!AY$23)</f>
        <v>#N/A</v>
      </c>
      <c r="P111" s="315">
        <f>IF(H111="Y",Inputs!M111*L111,0)</f>
        <v>0</v>
      </c>
      <c r="Q111" s="315">
        <f>(I111*Lookups!AW$23)+(J111*Lookups!AX$23)</f>
        <v>0</v>
      </c>
      <c r="R111" s="315">
        <f t="shared" si="4"/>
        <v>0</v>
      </c>
      <c r="S111" s="315" t="e">
        <f t="shared" si="5"/>
        <v>#N/A</v>
      </c>
    </row>
    <row r="112" spans="1:19" x14ac:dyDescent="0.2">
      <c r="A112" s="335">
        <f>Inputs!A112</f>
        <v>0</v>
      </c>
      <c r="B112" s="307">
        <f>Inputs!B112</f>
        <v>0</v>
      </c>
      <c r="C112" s="101">
        <f>Inputs!C112</f>
        <v>0</v>
      </c>
      <c r="D112" s="101">
        <f>Inputs!E112</f>
        <v>0</v>
      </c>
      <c r="E112" s="293">
        <f>Inputs!F112</f>
        <v>0</v>
      </c>
      <c r="F112" s="100">
        <f>IF(Inputs!N112&lt;(Inputs!K112*12),Inputs!N112/12,Inputs!K112)</f>
        <v>0</v>
      </c>
      <c r="G112" s="293">
        <f>IF(Inputs!N112&lt;(Inputs!K112*12),0,(Inputs!N112/12)-Inputs!K112)</f>
        <v>0</v>
      </c>
      <c r="H112" s="100" t="str">
        <f>IF(Inputs!F112="Plug Pile Wall","Y","N")</f>
        <v>N</v>
      </c>
      <c r="I112" s="101">
        <f>IF(Inputs!F112="Precast Lagging",Inputs!M112,0)</f>
        <v>0</v>
      </c>
      <c r="J112" s="101">
        <f>IF(Inputs!F112="Timber Lagging",Inputs!M112,0)</f>
        <v>0</v>
      </c>
      <c r="K112" s="293">
        <f>Inputs!G112</f>
        <v>0</v>
      </c>
      <c r="L112" s="305" t="e">
        <f>LOOKUP(C112,Lookups!AU$5:AU$18,Lookups!AY$5:AY$18)</f>
        <v>#N/A</v>
      </c>
      <c r="M112" s="303" t="e">
        <f>LOOKUP(C112,Lookups!AU$5:AU$18,Lookups!AZ$5:AZ$18)</f>
        <v>#N/A</v>
      </c>
      <c r="N112" s="303" t="e">
        <f>LOOKUP(B112,Lookups!A$5:A$265,Lookups!J$5:J$265)*1.25</f>
        <v>#N/A</v>
      </c>
      <c r="O112" s="300" t="e">
        <f>(F112*L112)+(G112*M112)+((F112+G112)*N112)+(K112*Lookups!AY$23)</f>
        <v>#N/A</v>
      </c>
      <c r="P112" s="315">
        <f>IF(H112="Y",Inputs!M112*L112,0)</f>
        <v>0</v>
      </c>
      <c r="Q112" s="315">
        <f>(I112*Lookups!AW$23)+(J112*Lookups!AX$23)</f>
        <v>0</v>
      </c>
      <c r="R112" s="315">
        <f t="shared" si="4"/>
        <v>0</v>
      </c>
      <c r="S112" s="315" t="e">
        <f t="shared" si="5"/>
        <v>#N/A</v>
      </c>
    </row>
    <row r="113" spans="1:19" x14ac:dyDescent="0.2">
      <c r="A113" s="335">
        <f>Inputs!A113</f>
        <v>0</v>
      </c>
      <c r="B113" s="307">
        <f>Inputs!B113</f>
        <v>0</v>
      </c>
      <c r="C113" s="101">
        <f>Inputs!C113</f>
        <v>0</v>
      </c>
      <c r="D113" s="101">
        <f>Inputs!E113</f>
        <v>0</v>
      </c>
      <c r="E113" s="293">
        <f>Inputs!F113</f>
        <v>0</v>
      </c>
      <c r="F113" s="100">
        <f>IF(Inputs!N113&lt;(Inputs!K113*12),Inputs!N113/12,Inputs!K113)</f>
        <v>0</v>
      </c>
      <c r="G113" s="293">
        <f>IF(Inputs!N113&lt;(Inputs!K113*12),0,(Inputs!N113/12)-Inputs!K113)</f>
        <v>0</v>
      </c>
      <c r="H113" s="100" t="str">
        <f>IF(Inputs!F113="Plug Pile Wall","Y","N")</f>
        <v>N</v>
      </c>
      <c r="I113" s="101">
        <f>IF(Inputs!F113="Precast Lagging",Inputs!M113,0)</f>
        <v>0</v>
      </c>
      <c r="J113" s="101">
        <f>IF(Inputs!F113="Timber Lagging",Inputs!M113,0)</f>
        <v>0</v>
      </c>
      <c r="K113" s="293">
        <f>Inputs!G113</f>
        <v>0</v>
      </c>
      <c r="L113" s="305" t="e">
        <f>LOOKUP(C113,Lookups!AU$5:AU$18,Lookups!AY$5:AY$18)</f>
        <v>#N/A</v>
      </c>
      <c r="M113" s="303" t="e">
        <f>LOOKUP(C113,Lookups!AU$5:AU$18,Lookups!AZ$5:AZ$18)</f>
        <v>#N/A</v>
      </c>
      <c r="N113" s="303" t="e">
        <f>LOOKUP(B113,Lookups!A$5:A$265,Lookups!J$5:J$265)*1.25</f>
        <v>#N/A</v>
      </c>
      <c r="O113" s="300" t="e">
        <f>(F113*L113)+(G113*M113)+((F113+G113)*N113)+(K113*Lookups!AY$23)</f>
        <v>#N/A</v>
      </c>
      <c r="P113" s="315">
        <f>IF(H113="Y",Inputs!M113*L113,0)</f>
        <v>0</v>
      </c>
      <c r="Q113" s="315">
        <f>(I113*Lookups!AW$23)+(J113*Lookups!AX$23)</f>
        <v>0</v>
      </c>
      <c r="R113" s="315">
        <f t="shared" si="4"/>
        <v>0</v>
      </c>
      <c r="S113" s="315" t="e">
        <f t="shared" si="5"/>
        <v>#N/A</v>
      </c>
    </row>
    <row r="114" spans="1:19" x14ac:dyDescent="0.2">
      <c r="A114" s="335">
        <f>Inputs!A114</f>
        <v>0</v>
      </c>
      <c r="B114" s="307">
        <f>Inputs!B114</f>
        <v>0</v>
      </c>
      <c r="C114" s="101">
        <f>Inputs!C114</f>
        <v>0</v>
      </c>
      <c r="D114" s="101">
        <f>Inputs!E114</f>
        <v>0</v>
      </c>
      <c r="E114" s="293">
        <f>Inputs!F114</f>
        <v>0</v>
      </c>
      <c r="F114" s="100">
        <f>IF(Inputs!N114&lt;(Inputs!K114*12),Inputs!N114/12,Inputs!K114)</f>
        <v>0</v>
      </c>
      <c r="G114" s="293">
        <f>IF(Inputs!N114&lt;(Inputs!K114*12),0,(Inputs!N114/12)-Inputs!K114)</f>
        <v>0</v>
      </c>
      <c r="H114" s="100" t="str">
        <f>IF(Inputs!F114="Plug Pile Wall","Y","N")</f>
        <v>N</v>
      </c>
      <c r="I114" s="101">
        <f>IF(Inputs!F114="Precast Lagging",Inputs!M114,0)</f>
        <v>0</v>
      </c>
      <c r="J114" s="101">
        <f>IF(Inputs!F114="Timber Lagging",Inputs!M114,0)</f>
        <v>0</v>
      </c>
      <c r="K114" s="293">
        <f>Inputs!G114</f>
        <v>0</v>
      </c>
      <c r="L114" s="305" t="e">
        <f>LOOKUP(C114,Lookups!AU$5:AU$18,Lookups!AY$5:AY$18)</f>
        <v>#N/A</v>
      </c>
      <c r="M114" s="303" t="e">
        <f>LOOKUP(C114,Lookups!AU$5:AU$18,Lookups!AZ$5:AZ$18)</f>
        <v>#N/A</v>
      </c>
      <c r="N114" s="303" t="e">
        <f>LOOKUP(B114,Lookups!A$5:A$265,Lookups!J$5:J$265)*1.25</f>
        <v>#N/A</v>
      </c>
      <c r="O114" s="300" t="e">
        <f>(F114*L114)+(G114*M114)+((F114+G114)*N114)+(K114*Lookups!AY$23)</f>
        <v>#N/A</v>
      </c>
      <c r="P114" s="315">
        <f>IF(H114="Y",Inputs!M114*L114,0)</f>
        <v>0</v>
      </c>
      <c r="Q114" s="315">
        <f>(I114*Lookups!AW$23)+(J114*Lookups!AX$23)</f>
        <v>0</v>
      </c>
      <c r="R114" s="315">
        <f t="shared" si="4"/>
        <v>0</v>
      </c>
      <c r="S114" s="315" t="e">
        <f t="shared" si="5"/>
        <v>#N/A</v>
      </c>
    </row>
    <row r="115" spans="1:19" x14ac:dyDescent="0.2">
      <c r="A115" s="335">
        <f>Inputs!A115</f>
        <v>0</v>
      </c>
      <c r="B115" s="307">
        <f>Inputs!B115</f>
        <v>0</v>
      </c>
      <c r="C115" s="101">
        <f>Inputs!C115</f>
        <v>0</v>
      </c>
      <c r="D115" s="101">
        <f>Inputs!E115</f>
        <v>0</v>
      </c>
      <c r="E115" s="293">
        <f>Inputs!F115</f>
        <v>0</v>
      </c>
      <c r="F115" s="100">
        <f>IF(Inputs!N115&lt;(Inputs!K115*12),Inputs!N115/12,Inputs!K115)</f>
        <v>0</v>
      </c>
      <c r="G115" s="293">
        <f>IF(Inputs!N115&lt;(Inputs!K115*12),0,(Inputs!N115/12)-Inputs!K115)</f>
        <v>0</v>
      </c>
      <c r="H115" s="100" t="str">
        <f>IF(Inputs!F115="Plug Pile Wall","Y","N")</f>
        <v>N</v>
      </c>
      <c r="I115" s="101">
        <f>IF(Inputs!F115="Precast Lagging",Inputs!M115,0)</f>
        <v>0</v>
      </c>
      <c r="J115" s="101">
        <f>IF(Inputs!F115="Timber Lagging",Inputs!M115,0)</f>
        <v>0</v>
      </c>
      <c r="K115" s="293">
        <f>Inputs!G115</f>
        <v>0</v>
      </c>
      <c r="L115" s="305" t="e">
        <f>LOOKUP(C115,Lookups!AU$5:AU$18,Lookups!AY$5:AY$18)</f>
        <v>#N/A</v>
      </c>
      <c r="M115" s="303" t="e">
        <f>LOOKUP(C115,Lookups!AU$5:AU$18,Lookups!AZ$5:AZ$18)</f>
        <v>#N/A</v>
      </c>
      <c r="N115" s="303" t="e">
        <f>LOOKUP(B115,Lookups!A$5:A$265,Lookups!J$5:J$265)*1.25</f>
        <v>#N/A</v>
      </c>
      <c r="O115" s="300" t="e">
        <f>(F115*L115)+(G115*M115)+((F115+G115)*N115)+(K115*Lookups!AY$23)</f>
        <v>#N/A</v>
      </c>
      <c r="P115" s="315">
        <f>IF(H115="Y",Inputs!M115*L115,0)</f>
        <v>0</v>
      </c>
      <c r="Q115" s="315">
        <f>(I115*Lookups!AW$23)+(J115*Lookups!AX$23)</f>
        <v>0</v>
      </c>
      <c r="R115" s="315">
        <f t="shared" si="4"/>
        <v>0</v>
      </c>
      <c r="S115" s="315" t="e">
        <f t="shared" si="5"/>
        <v>#N/A</v>
      </c>
    </row>
    <row r="116" spans="1:19" x14ac:dyDescent="0.2">
      <c r="A116" s="335">
        <f>Inputs!A116</f>
        <v>0</v>
      </c>
      <c r="B116" s="307">
        <f>Inputs!B116</f>
        <v>0</v>
      </c>
      <c r="C116" s="101">
        <f>Inputs!C116</f>
        <v>0</v>
      </c>
      <c r="D116" s="101">
        <f>Inputs!E116</f>
        <v>0</v>
      </c>
      <c r="E116" s="293">
        <f>Inputs!F116</f>
        <v>0</v>
      </c>
      <c r="F116" s="100">
        <f>IF(Inputs!N116&lt;(Inputs!K116*12),Inputs!N116/12,Inputs!K116)</f>
        <v>0</v>
      </c>
      <c r="G116" s="293">
        <f>IF(Inputs!N116&lt;(Inputs!K116*12),0,(Inputs!N116/12)-Inputs!K116)</f>
        <v>0</v>
      </c>
      <c r="H116" s="100" t="str">
        <f>IF(Inputs!F116="Plug Pile Wall","Y","N")</f>
        <v>N</v>
      </c>
      <c r="I116" s="101">
        <f>IF(Inputs!F116="Precast Lagging",Inputs!M116,0)</f>
        <v>0</v>
      </c>
      <c r="J116" s="101">
        <f>IF(Inputs!F116="Timber Lagging",Inputs!M116,0)</f>
        <v>0</v>
      </c>
      <c r="K116" s="293">
        <f>Inputs!G116</f>
        <v>0</v>
      </c>
      <c r="L116" s="305" t="e">
        <f>LOOKUP(C116,Lookups!AU$5:AU$18,Lookups!AY$5:AY$18)</f>
        <v>#N/A</v>
      </c>
      <c r="M116" s="303" t="e">
        <f>LOOKUP(C116,Lookups!AU$5:AU$18,Lookups!AZ$5:AZ$18)</f>
        <v>#N/A</v>
      </c>
      <c r="N116" s="303" t="e">
        <f>LOOKUP(B116,Lookups!A$5:A$265,Lookups!J$5:J$265)*1.25</f>
        <v>#N/A</v>
      </c>
      <c r="O116" s="300" t="e">
        <f>(F116*L116)+(G116*M116)+((F116+G116)*N116)+(K116*Lookups!AY$23)</f>
        <v>#N/A</v>
      </c>
      <c r="P116" s="315">
        <f>IF(H116="Y",Inputs!M116*L116,0)</f>
        <v>0</v>
      </c>
      <c r="Q116" s="315">
        <f>(I116*Lookups!AW$23)+(J116*Lookups!AX$23)</f>
        <v>0</v>
      </c>
      <c r="R116" s="315">
        <f t="shared" si="4"/>
        <v>0</v>
      </c>
      <c r="S116" s="315" t="e">
        <f t="shared" si="5"/>
        <v>#N/A</v>
      </c>
    </row>
    <row r="117" spans="1:19" x14ac:dyDescent="0.2">
      <c r="A117" s="335">
        <f>Inputs!A117</f>
        <v>0</v>
      </c>
      <c r="B117" s="307">
        <f>Inputs!B117</f>
        <v>0</v>
      </c>
      <c r="C117" s="101">
        <f>Inputs!C117</f>
        <v>0</v>
      </c>
      <c r="D117" s="101">
        <f>Inputs!E117</f>
        <v>0</v>
      </c>
      <c r="E117" s="293">
        <f>Inputs!F117</f>
        <v>0</v>
      </c>
      <c r="F117" s="100">
        <f>IF(Inputs!N117&lt;(Inputs!K117*12),Inputs!N117/12,Inputs!K117)</f>
        <v>0</v>
      </c>
      <c r="G117" s="293">
        <f>IF(Inputs!N117&lt;(Inputs!K117*12),0,(Inputs!N117/12)-Inputs!K117)</f>
        <v>0</v>
      </c>
      <c r="H117" s="100" t="str">
        <f>IF(Inputs!F117="Plug Pile Wall","Y","N")</f>
        <v>N</v>
      </c>
      <c r="I117" s="101">
        <f>IF(Inputs!F117="Precast Lagging",Inputs!M117,0)</f>
        <v>0</v>
      </c>
      <c r="J117" s="101">
        <f>IF(Inputs!F117="Timber Lagging",Inputs!M117,0)</f>
        <v>0</v>
      </c>
      <c r="K117" s="293">
        <f>Inputs!G117</f>
        <v>0</v>
      </c>
      <c r="L117" s="305" t="e">
        <f>LOOKUP(C117,Lookups!AU$5:AU$18,Lookups!AY$5:AY$18)</f>
        <v>#N/A</v>
      </c>
      <c r="M117" s="303" t="e">
        <f>LOOKUP(C117,Lookups!AU$5:AU$18,Lookups!AZ$5:AZ$18)</f>
        <v>#N/A</v>
      </c>
      <c r="N117" s="303" t="e">
        <f>LOOKUP(B117,Lookups!A$5:A$265,Lookups!J$5:J$265)*1.25</f>
        <v>#N/A</v>
      </c>
      <c r="O117" s="300" t="e">
        <f>(F117*L117)+(G117*M117)+((F117+G117)*N117)+(K117*Lookups!AY$23)</f>
        <v>#N/A</v>
      </c>
      <c r="P117" s="315">
        <f>IF(H117="Y",Inputs!M117*L117,0)</f>
        <v>0</v>
      </c>
      <c r="Q117" s="315">
        <f>(I117*Lookups!AW$23)+(J117*Lookups!AX$23)</f>
        <v>0</v>
      </c>
      <c r="R117" s="315">
        <f t="shared" si="4"/>
        <v>0</v>
      </c>
      <c r="S117" s="315" t="e">
        <f t="shared" si="5"/>
        <v>#N/A</v>
      </c>
    </row>
    <row r="118" spans="1:19" x14ac:dyDescent="0.2">
      <c r="A118" s="335">
        <f>Inputs!A118</f>
        <v>0</v>
      </c>
      <c r="B118" s="307">
        <f>Inputs!B118</f>
        <v>0</v>
      </c>
      <c r="C118" s="101">
        <f>Inputs!C118</f>
        <v>0</v>
      </c>
      <c r="D118" s="101">
        <f>Inputs!E118</f>
        <v>0</v>
      </c>
      <c r="E118" s="293">
        <f>Inputs!F118</f>
        <v>0</v>
      </c>
      <c r="F118" s="100">
        <f>IF(Inputs!N118&lt;(Inputs!K118*12),Inputs!N118/12,Inputs!K118)</f>
        <v>0</v>
      </c>
      <c r="G118" s="293">
        <f>IF(Inputs!N118&lt;(Inputs!K118*12),0,(Inputs!N118/12)-Inputs!K118)</f>
        <v>0</v>
      </c>
      <c r="H118" s="100" t="str">
        <f>IF(Inputs!F118="Plug Pile Wall","Y","N")</f>
        <v>N</v>
      </c>
      <c r="I118" s="101">
        <f>IF(Inputs!F118="Precast Lagging",Inputs!M118,0)</f>
        <v>0</v>
      </c>
      <c r="J118" s="101">
        <f>IF(Inputs!F118="Timber Lagging",Inputs!M118,0)</f>
        <v>0</v>
      </c>
      <c r="K118" s="293">
        <f>Inputs!G118</f>
        <v>0</v>
      </c>
      <c r="L118" s="305" t="e">
        <f>LOOKUP(C118,Lookups!AU$5:AU$18,Lookups!AY$5:AY$18)</f>
        <v>#N/A</v>
      </c>
      <c r="M118" s="303" t="e">
        <f>LOOKUP(C118,Lookups!AU$5:AU$18,Lookups!AZ$5:AZ$18)</f>
        <v>#N/A</v>
      </c>
      <c r="N118" s="303" t="e">
        <f>LOOKUP(B118,Lookups!A$5:A$265,Lookups!J$5:J$265)*1.25</f>
        <v>#N/A</v>
      </c>
      <c r="O118" s="300" t="e">
        <f>(F118*L118)+(G118*M118)+((F118+G118)*N118)+(K118*Lookups!AY$23)</f>
        <v>#N/A</v>
      </c>
      <c r="P118" s="315">
        <f>IF(H118="Y",Inputs!M118*L118,0)</f>
        <v>0</v>
      </c>
      <c r="Q118" s="315">
        <f>(I118*Lookups!AW$23)+(J118*Lookups!AX$23)</f>
        <v>0</v>
      </c>
      <c r="R118" s="315">
        <f t="shared" si="4"/>
        <v>0</v>
      </c>
      <c r="S118" s="315" t="e">
        <f t="shared" si="5"/>
        <v>#N/A</v>
      </c>
    </row>
    <row r="119" spans="1:19" x14ac:dyDescent="0.2">
      <c r="A119" s="335">
        <f>Inputs!A119</f>
        <v>0</v>
      </c>
      <c r="B119" s="307">
        <f>Inputs!B119</f>
        <v>0</v>
      </c>
      <c r="C119" s="101">
        <f>Inputs!C119</f>
        <v>0</v>
      </c>
      <c r="D119" s="101">
        <f>Inputs!E119</f>
        <v>0</v>
      </c>
      <c r="E119" s="293">
        <f>Inputs!F119</f>
        <v>0</v>
      </c>
      <c r="F119" s="100">
        <f>IF(Inputs!N119&lt;(Inputs!K119*12),Inputs!N119/12,Inputs!K119)</f>
        <v>0</v>
      </c>
      <c r="G119" s="293">
        <f>IF(Inputs!N119&lt;(Inputs!K119*12),0,(Inputs!N119/12)-Inputs!K119)</f>
        <v>0</v>
      </c>
      <c r="H119" s="100" t="str">
        <f>IF(Inputs!F119="Plug Pile Wall","Y","N")</f>
        <v>N</v>
      </c>
      <c r="I119" s="101">
        <f>IF(Inputs!F119="Precast Lagging",Inputs!M119,0)</f>
        <v>0</v>
      </c>
      <c r="J119" s="101">
        <f>IF(Inputs!F119="Timber Lagging",Inputs!M119,0)</f>
        <v>0</v>
      </c>
      <c r="K119" s="293">
        <f>Inputs!G119</f>
        <v>0</v>
      </c>
      <c r="L119" s="305" t="e">
        <f>LOOKUP(C119,Lookups!AU$5:AU$18,Lookups!AY$5:AY$18)</f>
        <v>#N/A</v>
      </c>
      <c r="M119" s="303" t="e">
        <f>LOOKUP(C119,Lookups!AU$5:AU$18,Lookups!AZ$5:AZ$18)</f>
        <v>#N/A</v>
      </c>
      <c r="N119" s="303" t="e">
        <f>LOOKUP(B119,Lookups!A$5:A$265,Lookups!J$5:J$265)*1.25</f>
        <v>#N/A</v>
      </c>
      <c r="O119" s="300" t="e">
        <f>(F119*L119)+(G119*M119)+((F119+G119)*N119)+(K119*Lookups!AY$23)</f>
        <v>#N/A</v>
      </c>
      <c r="P119" s="315">
        <f>IF(H119="Y",Inputs!M119*L119,0)</f>
        <v>0</v>
      </c>
      <c r="Q119" s="315">
        <f>(I119*Lookups!AW$23)+(J119*Lookups!AX$23)</f>
        <v>0</v>
      </c>
      <c r="R119" s="315">
        <f t="shared" ref="R119:R120" si="6">IF(I119&gt;0,(1*(8*I119+I119^2/2))/(27/1)*(12/1),IF(J119&gt;0,(1*(8*J119+J119^2/2))/(27/1)*(12/1),0))</f>
        <v>0</v>
      </c>
      <c r="S119" s="315" t="e">
        <f t="shared" ref="S119:S120" si="7">(O119+P119)/((C119/12)*D119)+Q119</f>
        <v>#N/A</v>
      </c>
    </row>
    <row r="120" spans="1:19" x14ac:dyDescent="0.2">
      <c r="A120" s="335">
        <f>Inputs!A120</f>
        <v>0</v>
      </c>
      <c r="B120" s="307">
        <f>Inputs!B120</f>
        <v>0</v>
      </c>
      <c r="C120" s="101">
        <f>Inputs!C120</f>
        <v>0</v>
      </c>
      <c r="D120" s="101">
        <f>Inputs!E120</f>
        <v>0</v>
      </c>
      <c r="E120" s="293">
        <f>Inputs!F120</f>
        <v>0</v>
      </c>
      <c r="F120" s="100">
        <f>IF(Inputs!N120&lt;(Inputs!K120*12),Inputs!N120/12,Inputs!K120)</f>
        <v>0</v>
      </c>
      <c r="G120" s="293">
        <f>IF(Inputs!N120&lt;(Inputs!K120*12),0,(Inputs!N120/12)-Inputs!K120)</f>
        <v>0</v>
      </c>
      <c r="H120" s="100" t="str">
        <f>IF(Inputs!F120="Plug Pile Wall","Y","N")</f>
        <v>N</v>
      </c>
      <c r="I120" s="101">
        <f>IF(Inputs!F120="Precast Lagging",Inputs!M120,0)</f>
        <v>0</v>
      </c>
      <c r="J120" s="101">
        <f>IF(Inputs!F120="Timber Lagging",Inputs!M120,0)</f>
        <v>0</v>
      </c>
      <c r="K120" s="293">
        <f>Inputs!G120</f>
        <v>0</v>
      </c>
      <c r="L120" s="305" t="e">
        <f>LOOKUP(C120,Lookups!AU$5:AU$18,Lookups!AY$5:AY$18)</f>
        <v>#N/A</v>
      </c>
      <c r="M120" s="303" t="e">
        <f>LOOKUP(C120,Lookups!AU$5:AU$18,Lookups!AZ$5:AZ$18)</f>
        <v>#N/A</v>
      </c>
      <c r="N120" s="303" t="e">
        <f>LOOKUP(B120,Lookups!A$5:A$265,Lookups!J$5:J$265)*1.25</f>
        <v>#N/A</v>
      </c>
      <c r="O120" s="300" t="e">
        <f>(F120*L120)+(G120*M120)+((F120+G120)*N120)+(K120*Lookups!AY$23)</f>
        <v>#N/A</v>
      </c>
      <c r="P120" s="315">
        <f>IF(H120="Y",Inputs!M120*L120,0)</f>
        <v>0</v>
      </c>
      <c r="Q120" s="315">
        <f>(I120*Lookups!AW$23)+(J120*Lookups!AX$23)</f>
        <v>0</v>
      </c>
      <c r="R120" s="315">
        <f t="shared" si="6"/>
        <v>0</v>
      </c>
      <c r="S120" s="315" t="e">
        <f t="shared" si="7"/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531"/>
  <sheetViews>
    <sheetView workbookViewId="0">
      <pane ySplit="4" topLeftCell="A140" activePane="bottomLeft" state="frozen"/>
      <selection pane="bottomLeft" activeCell="A146" sqref="A146"/>
    </sheetView>
  </sheetViews>
  <sheetFormatPr defaultRowHeight="15" x14ac:dyDescent="0.25"/>
  <cols>
    <col min="1" max="1" width="9.42578125" bestFit="1" customWidth="1"/>
    <col min="2" max="2" width="5.28515625" customWidth="1"/>
    <col min="3" max="3" width="6" style="1" customWidth="1"/>
    <col min="4" max="4" width="5.5703125" style="1" customWidth="1"/>
    <col min="5" max="5" width="7.7109375" style="1" customWidth="1"/>
    <col min="6" max="6" width="8.28515625" style="1" customWidth="1"/>
    <col min="7" max="7" width="7" style="1" customWidth="1"/>
    <col min="8" max="8" width="5.140625" style="1" customWidth="1"/>
    <col min="9" max="9" width="5.5703125" style="350" bestFit="1" customWidth="1"/>
    <col min="10" max="10" width="5.140625" style="1" customWidth="1"/>
    <col min="11" max="11" width="5" style="1" customWidth="1"/>
    <col min="12" max="12" width="8.28515625" style="378" customWidth="1"/>
    <col min="13" max="13" width="5.28515625" style="378" customWidth="1"/>
    <col min="14" max="15" width="5.140625" style="378" customWidth="1"/>
    <col min="16" max="16" width="5" customWidth="1"/>
    <col min="17" max="17" width="9.140625" style="378"/>
    <col min="18" max="18" width="5.28515625" style="378" customWidth="1"/>
    <col min="19" max="20" width="5.140625" style="378" customWidth="1"/>
    <col min="21" max="21" width="5" customWidth="1"/>
    <col min="22" max="22" width="9.42578125" style="378" bestFit="1" customWidth="1"/>
    <col min="23" max="23" width="5.28515625" style="378" customWidth="1"/>
    <col min="24" max="25" width="5.140625" style="378" customWidth="1"/>
    <col min="26" max="26" width="5" customWidth="1"/>
    <col min="27" max="27" width="9.42578125" style="378" bestFit="1" customWidth="1"/>
    <col min="28" max="28" width="5.28515625" style="378" customWidth="1"/>
    <col min="29" max="30" width="5.140625" style="378" customWidth="1"/>
    <col min="31" max="31" width="5" customWidth="1"/>
    <col min="32" max="32" width="9.42578125" style="378" bestFit="1" customWidth="1"/>
    <col min="33" max="33" width="5.28515625" style="378" customWidth="1"/>
    <col min="34" max="35" width="5.140625" style="378" customWidth="1"/>
    <col min="36" max="36" width="5" customWidth="1"/>
    <col min="37" max="37" width="9.42578125" style="378" bestFit="1" customWidth="1"/>
    <col min="38" max="38" width="5.28515625" style="378" customWidth="1"/>
    <col min="39" max="40" width="5.140625" style="235" customWidth="1"/>
    <col min="41" max="41" width="5" customWidth="1"/>
    <col min="42" max="42" width="9.42578125" style="378" bestFit="1" customWidth="1"/>
    <col min="43" max="43" width="5.28515625" style="378" customWidth="1"/>
    <col min="44" max="45" width="5.140625" style="235" customWidth="1"/>
    <col min="46" max="46" width="8.7109375" customWidth="1"/>
    <col min="47" max="47" width="8.140625" bestFit="1" customWidth="1"/>
    <col min="48" max="48" width="7.85546875" bestFit="1" customWidth="1"/>
    <col min="49" max="49" width="10" style="290" customWidth="1"/>
    <col min="50" max="50" width="8.42578125" style="290" bestFit="1" customWidth="1"/>
    <col min="51" max="51" width="10" customWidth="1"/>
    <col min="52" max="52" width="8.42578125" bestFit="1" customWidth="1"/>
    <col min="53" max="53" width="7.5703125" bestFit="1" customWidth="1"/>
    <col min="54" max="54" width="6.42578125" bestFit="1" customWidth="1"/>
    <col min="55" max="55" width="8" bestFit="1" customWidth="1"/>
    <col min="56" max="56" width="7.140625" bestFit="1" customWidth="1"/>
    <col min="57" max="57" width="6.42578125" bestFit="1" customWidth="1"/>
    <col min="58" max="60" width="7.85546875" bestFit="1" customWidth="1"/>
    <col min="61" max="61" width="7" bestFit="1" customWidth="1"/>
    <col min="62" max="62" width="5.5703125" bestFit="1" customWidth="1"/>
    <col min="63" max="63" width="7.5703125" bestFit="1" customWidth="1"/>
  </cols>
  <sheetData>
    <row r="1" spans="1:63" s="2" customFormat="1" ht="16.5" thickBot="1" x14ac:dyDescent="0.3">
      <c r="A1" s="66" t="s">
        <v>346</v>
      </c>
      <c r="B1" s="67"/>
      <c r="C1" s="74"/>
      <c r="D1" s="74"/>
      <c r="E1" s="74"/>
      <c r="F1" s="74"/>
      <c r="G1" s="74"/>
      <c r="H1" s="68"/>
      <c r="I1" s="339"/>
      <c r="J1" s="74"/>
      <c r="K1" s="75"/>
      <c r="L1" s="66" t="s">
        <v>347</v>
      </c>
      <c r="M1" s="67"/>
      <c r="N1" s="67"/>
      <c r="O1" s="70"/>
      <c r="P1" s="81"/>
      <c r="Q1" s="66" t="s">
        <v>348</v>
      </c>
      <c r="R1" s="67"/>
      <c r="S1" s="67"/>
      <c r="T1" s="70"/>
      <c r="U1" s="81"/>
      <c r="V1" s="66" t="s">
        <v>349</v>
      </c>
      <c r="W1" s="67"/>
      <c r="X1" s="67"/>
      <c r="Y1" s="70"/>
      <c r="Z1" s="81"/>
      <c r="AA1" s="66" t="s">
        <v>350</v>
      </c>
      <c r="AB1" s="67"/>
      <c r="AC1" s="67"/>
      <c r="AD1" s="70"/>
      <c r="AE1" s="81"/>
      <c r="AF1" s="66" t="s">
        <v>351</v>
      </c>
      <c r="AG1" s="67"/>
      <c r="AH1" s="67"/>
      <c r="AI1" s="70"/>
      <c r="AJ1" s="81"/>
      <c r="AK1" s="66" t="s">
        <v>352</v>
      </c>
      <c r="AL1" s="67"/>
      <c r="AM1" s="74"/>
      <c r="AN1" s="68"/>
      <c r="AO1" s="81"/>
      <c r="AP1" s="66" t="s">
        <v>354</v>
      </c>
      <c r="AQ1" s="67"/>
      <c r="AR1" s="74"/>
      <c r="AS1" s="68"/>
      <c r="AT1" s="251" t="s">
        <v>362</v>
      </c>
      <c r="AU1" s="252"/>
      <c r="AV1" s="253"/>
      <c r="AW1" s="324"/>
      <c r="AX1" s="324"/>
      <c r="AY1" s="254"/>
      <c r="AZ1" s="254"/>
      <c r="BA1" s="253"/>
      <c r="BB1" s="253"/>
      <c r="BC1" s="253"/>
      <c r="BD1" s="253"/>
      <c r="BE1" s="253"/>
      <c r="BF1" s="253"/>
      <c r="BG1" s="253"/>
      <c r="BH1" s="254"/>
      <c r="BI1" s="254"/>
      <c r="BJ1" s="254"/>
      <c r="BK1" s="255"/>
    </row>
    <row r="2" spans="1:63" ht="15.75" thickBot="1" x14ac:dyDescent="0.3">
      <c r="A2" s="62"/>
      <c r="B2" s="69"/>
      <c r="C2" s="73"/>
      <c r="D2" s="73"/>
      <c r="E2" s="73"/>
      <c r="F2" s="73"/>
      <c r="G2" s="73"/>
      <c r="H2" s="63"/>
      <c r="I2" s="270"/>
      <c r="J2" s="73"/>
      <c r="K2" s="76"/>
      <c r="L2" s="62"/>
      <c r="M2" s="69"/>
      <c r="N2" s="69"/>
      <c r="O2" s="71"/>
      <c r="P2" s="77"/>
      <c r="Q2" s="62"/>
      <c r="R2" s="69"/>
      <c r="S2" s="69"/>
      <c r="T2" s="71"/>
      <c r="U2" s="77"/>
      <c r="V2" s="62"/>
      <c r="W2" s="69"/>
      <c r="X2" s="69"/>
      <c r="Y2" s="71"/>
      <c r="Z2" s="77"/>
      <c r="AA2" s="62"/>
      <c r="AB2" s="69"/>
      <c r="AC2" s="69"/>
      <c r="AD2" s="71"/>
      <c r="AE2" s="77"/>
      <c r="AF2" s="62"/>
      <c r="AG2" s="69"/>
      <c r="AH2" s="69"/>
      <c r="AI2" s="71"/>
      <c r="AJ2" s="77"/>
      <c r="AK2" s="62"/>
      <c r="AL2" s="69"/>
      <c r="AM2" s="73"/>
      <c r="AN2" s="63"/>
      <c r="AO2" s="77"/>
      <c r="AP2" s="62"/>
      <c r="AQ2" s="69"/>
      <c r="AR2" s="73"/>
      <c r="AS2" s="63"/>
      <c r="AT2" s="61"/>
      <c r="AU2" s="256"/>
      <c r="AV2" s="27"/>
      <c r="AW2" s="325" t="s">
        <v>363</v>
      </c>
      <c r="AX2" s="326"/>
      <c r="AY2" s="275" t="s">
        <v>364</v>
      </c>
      <c r="AZ2" s="276"/>
      <c r="BA2" s="208" t="s">
        <v>365</v>
      </c>
      <c r="BB2" s="208" t="s">
        <v>366</v>
      </c>
      <c r="BC2" s="209" t="s">
        <v>367</v>
      </c>
      <c r="BD2" s="208" t="s">
        <v>368</v>
      </c>
      <c r="BE2" s="208" t="s">
        <v>369</v>
      </c>
      <c r="BF2" s="210" t="s">
        <v>370</v>
      </c>
      <c r="BG2" s="210" t="s">
        <v>371</v>
      </c>
      <c r="BH2" s="209" t="s">
        <v>367</v>
      </c>
      <c r="BI2" s="207" t="s">
        <v>367</v>
      </c>
      <c r="BJ2" s="211" t="s">
        <v>372</v>
      </c>
      <c r="BK2" s="257" t="s">
        <v>372</v>
      </c>
    </row>
    <row r="3" spans="1:63" x14ac:dyDescent="0.25">
      <c r="A3" s="49" t="s">
        <v>86</v>
      </c>
      <c r="B3" s="56" t="s">
        <v>83</v>
      </c>
      <c r="C3" s="56" t="s">
        <v>9</v>
      </c>
      <c r="D3" s="82" t="s">
        <v>355</v>
      </c>
      <c r="E3" s="84" t="s">
        <v>356</v>
      </c>
      <c r="F3" s="788" t="s">
        <v>513</v>
      </c>
      <c r="G3" s="56" t="s">
        <v>357</v>
      </c>
      <c r="H3" s="58" t="s">
        <v>24</v>
      </c>
      <c r="I3" s="340" t="s">
        <v>432</v>
      </c>
      <c r="J3" s="58" t="s">
        <v>359</v>
      </c>
      <c r="K3" s="78"/>
      <c r="L3" s="49" t="s">
        <v>86</v>
      </c>
      <c r="M3" s="56" t="s">
        <v>83</v>
      </c>
      <c r="N3" s="56" t="s">
        <v>24</v>
      </c>
      <c r="O3" s="382" t="s">
        <v>432</v>
      </c>
      <c r="P3" s="78"/>
      <c r="Q3" s="49" t="s">
        <v>86</v>
      </c>
      <c r="R3" s="56" t="s">
        <v>83</v>
      </c>
      <c r="S3" s="56" t="s">
        <v>24</v>
      </c>
      <c r="T3" s="382" t="s">
        <v>432</v>
      </c>
      <c r="U3" s="78"/>
      <c r="V3" s="49" t="s">
        <v>86</v>
      </c>
      <c r="W3" s="56" t="s">
        <v>83</v>
      </c>
      <c r="X3" s="56" t="s">
        <v>24</v>
      </c>
      <c r="Y3" s="382" t="s">
        <v>432</v>
      </c>
      <c r="Z3" s="78"/>
      <c r="AA3" s="49" t="s">
        <v>86</v>
      </c>
      <c r="AB3" s="56" t="s">
        <v>83</v>
      </c>
      <c r="AC3" s="56" t="s">
        <v>24</v>
      </c>
      <c r="AD3" s="382" t="s">
        <v>432</v>
      </c>
      <c r="AE3" s="78"/>
      <c r="AF3" s="49" t="s">
        <v>86</v>
      </c>
      <c r="AG3" s="56" t="s">
        <v>83</v>
      </c>
      <c r="AH3" s="56" t="s">
        <v>24</v>
      </c>
      <c r="AI3" s="382" t="s">
        <v>432</v>
      </c>
      <c r="AJ3" s="78"/>
      <c r="AK3" s="49" t="s">
        <v>86</v>
      </c>
      <c r="AL3" s="56" t="s">
        <v>83</v>
      </c>
      <c r="AM3" s="56" t="s">
        <v>24</v>
      </c>
      <c r="AN3" s="382" t="s">
        <v>432</v>
      </c>
      <c r="AO3" s="78"/>
      <c r="AP3" s="49" t="s">
        <v>86</v>
      </c>
      <c r="AQ3" s="56" t="s">
        <v>83</v>
      </c>
      <c r="AR3" s="56" t="s">
        <v>24</v>
      </c>
      <c r="AS3" s="382" t="s">
        <v>432</v>
      </c>
      <c r="AT3" s="258" t="s">
        <v>373</v>
      </c>
      <c r="AU3" s="212" t="s">
        <v>24</v>
      </c>
      <c r="AV3" s="213" t="s">
        <v>24</v>
      </c>
      <c r="AW3" s="317" t="s">
        <v>374</v>
      </c>
      <c r="AX3" s="318" t="s">
        <v>375</v>
      </c>
      <c r="AY3" s="277" t="s">
        <v>374</v>
      </c>
      <c r="AZ3" s="278" t="s">
        <v>375</v>
      </c>
      <c r="BA3" s="16" t="s">
        <v>376</v>
      </c>
      <c r="BB3" s="16" t="s">
        <v>377</v>
      </c>
      <c r="BC3" s="3" t="s">
        <v>378</v>
      </c>
      <c r="BD3" s="16" t="s">
        <v>376</v>
      </c>
      <c r="BE3" s="16" t="s">
        <v>379</v>
      </c>
      <c r="BF3" s="214" t="s">
        <v>380</v>
      </c>
      <c r="BG3" s="214" t="s">
        <v>380</v>
      </c>
      <c r="BH3" s="215" t="s">
        <v>380</v>
      </c>
      <c r="BI3" s="15" t="s">
        <v>27</v>
      </c>
      <c r="BJ3" s="216" t="s">
        <v>27</v>
      </c>
      <c r="BK3" s="259" t="s">
        <v>27</v>
      </c>
    </row>
    <row r="4" spans="1:63" ht="15.75" thickBot="1" x14ac:dyDescent="0.3">
      <c r="A4" s="50" t="s">
        <v>8</v>
      </c>
      <c r="B4" s="57" t="s">
        <v>84</v>
      </c>
      <c r="C4" s="57" t="s">
        <v>10</v>
      </c>
      <c r="D4" s="83" t="s">
        <v>12</v>
      </c>
      <c r="E4" s="85" t="s">
        <v>3</v>
      </c>
      <c r="F4" s="789"/>
      <c r="G4" s="57" t="s">
        <v>3</v>
      </c>
      <c r="H4" s="64" t="s">
        <v>3</v>
      </c>
      <c r="I4" s="341" t="s">
        <v>12</v>
      </c>
      <c r="J4" s="64" t="s">
        <v>358</v>
      </c>
      <c r="K4" s="79"/>
      <c r="L4" s="50" t="s">
        <v>8</v>
      </c>
      <c r="M4" s="57" t="s">
        <v>84</v>
      </c>
      <c r="N4" s="57" t="s">
        <v>3</v>
      </c>
      <c r="O4" s="383" t="s">
        <v>12</v>
      </c>
      <c r="P4" s="79"/>
      <c r="Q4" s="50" t="s">
        <v>8</v>
      </c>
      <c r="R4" s="57" t="s">
        <v>84</v>
      </c>
      <c r="S4" s="57" t="s">
        <v>3</v>
      </c>
      <c r="T4" s="383" t="s">
        <v>12</v>
      </c>
      <c r="U4" s="79"/>
      <c r="V4" s="50" t="s">
        <v>8</v>
      </c>
      <c r="W4" s="57" t="s">
        <v>84</v>
      </c>
      <c r="X4" s="57" t="s">
        <v>3</v>
      </c>
      <c r="Y4" s="383" t="s">
        <v>12</v>
      </c>
      <c r="Z4" s="79"/>
      <c r="AA4" s="50" t="s">
        <v>8</v>
      </c>
      <c r="AB4" s="57" t="s">
        <v>84</v>
      </c>
      <c r="AC4" s="57" t="s">
        <v>3</v>
      </c>
      <c r="AD4" s="383" t="s">
        <v>12</v>
      </c>
      <c r="AE4" s="79"/>
      <c r="AF4" s="50" t="s">
        <v>8</v>
      </c>
      <c r="AG4" s="57" t="s">
        <v>84</v>
      </c>
      <c r="AH4" s="57" t="s">
        <v>3</v>
      </c>
      <c r="AI4" s="383" t="s">
        <v>12</v>
      </c>
      <c r="AJ4" s="79"/>
      <c r="AK4" s="50" t="s">
        <v>8</v>
      </c>
      <c r="AL4" s="57" t="s">
        <v>84</v>
      </c>
      <c r="AM4" s="57" t="s">
        <v>3</v>
      </c>
      <c r="AN4" s="383" t="s">
        <v>12</v>
      </c>
      <c r="AO4" s="79"/>
      <c r="AP4" s="50" t="s">
        <v>8</v>
      </c>
      <c r="AQ4" s="57" t="s">
        <v>84</v>
      </c>
      <c r="AR4" s="57" t="s">
        <v>3</v>
      </c>
      <c r="AS4" s="383" t="s">
        <v>12</v>
      </c>
      <c r="AT4" s="260" t="s">
        <v>381</v>
      </c>
      <c r="AU4" s="217" t="s">
        <v>382</v>
      </c>
      <c r="AV4" s="218" t="s">
        <v>383</v>
      </c>
      <c r="AW4" s="319" t="s">
        <v>384</v>
      </c>
      <c r="AX4" s="320" t="s">
        <v>384</v>
      </c>
      <c r="AY4" s="279" t="s">
        <v>384</v>
      </c>
      <c r="AZ4" s="280" t="s">
        <v>384</v>
      </c>
      <c r="BA4" s="220" t="s">
        <v>385</v>
      </c>
      <c r="BB4" s="220" t="s">
        <v>386</v>
      </c>
      <c r="BC4" s="221" t="s">
        <v>387</v>
      </c>
      <c r="BD4" s="220" t="s">
        <v>385</v>
      </c>
      <c r="BE4" s="222" t="s">
        <v>385</v>
      </c>
      <c r="BF4" s="222" t="s">
        <v>385</v>
      </c>
      <c r="BG4" s="222" t="s">
        <v>84</v>
      </c>
      <c r="BH4" s="221" t="s">
        <v>358</v>
      </c>
      <c r="BI4" s="219" t="s">
        <v>387</v>
      </c>
      <c r="BJ4" s="223" t="s">
        <v>388</v>
      </c>
      <c r="BK4" s="261" t="s">
        <v>389</v>
      </c>
    </row>
    <row r="5" spans="1:63" x14ac:dyDescent="0.25">
      <c r="A5" s="104" t="s">
        <v>87</v>
      </c>
      <c r="B5" s="105">
        <v>29.8</v>
      </c>
      <c r="C5" s="106">
        <v>119</v>
      </c>
      <c r="D5" s="107">
        <v>10.6</v>
      </c>
      <c r="E5" s="108">
        <v>0.44500000000000001</v>
      </c>
      <c r="F5" s="108" t="s">
        <v>512</v>
      </c>
      <c r="G5" s="108">
        <v>9.8835030574739466</v>
      </c>
      <c r="H5" s="109">
        <v>18</v>
      </c>
      <c r="I5" s="342">
        <v>3.1728499999999999</v>
      </c>
      <c r="J5" s="109">
        <f>VALUE(RIGHT(A5,3))</f>
        <v>36</v>
      </c>
      <c r="K5" s="110">
        <v>0</v>
      </c>
      <c r="L5" s="111" t="s">
        <v>102</v>
      </c>
      <c r="M5" s="112">
        <v>5.46</v>
      </c>
      <c r="N5" s="113">
        <v>12</v>
      </c>
      <c r="O5" s="370">
        <v>0.97160000000000013</v>
      </c>
      <c r="P5" s="114">
        <v>0</v>
      </c>
      <c r="Q5" s="111" t="s">
        <v>102</v>
      </c>
      <c r="R5" s="112">
        <v>5.46</v>
      </c>
      <c r="S5" s="113">
        <v>12</v>
      </c>
      <c r="T5" s="370">
        <v>0.97160000000000013</v>
      </c>
      <c r="U5" s="114">
        <v>0</v>
      </c>
      <c r="V5" s="111" t="s">
        <v>102</v>
      </c>
      <c r="W5" s="112">
        <v>5.46</v>
      </c>
      <c r="X5" s="113">
        <v>12</v>
      </c>
      <c r="Y5" s="370">
        <v>0.97160000000000013</v>
      </c>
      <c r="Z5" s="114">
        <v>0</v>
      </c>
      <c r="AA5" s="111" t="s">
        <v>102</v>
      </c>
      <c r="AB5" s="112">
        <v>5.46</v>
      </c>
      <c r="AC5" s="113">
        <v>12</v>
      </c>
      <c r="AD5" s="370">
        <v>0.97160000000000013</v>
      </c>
      <c r="AE5" s="110">
        <v>0</v>
      </c>
      <c r="AF5" s="111" t="s">
        <v>102</v>
      </c>
      <c r="AG5" s="112">
        <v>5.46</v>
      </c>
      <c r="AH5" s="113">
        <v>12</v>
      </c>
      <c r="AI5" s="370">
        <v>0.97160000000000013</v>
      </c>
      <c r="AJ5" s="114">
        <v>0</v>
      </c>
      <c r="AK5" s="111" t="s">
        <v>102</v>
      </c>
      <c r="AL5" s="112">
        <v>5.46</v>
      </c>
      <c r="AM5" s="113">
        <v>12</v>
      </c>
      <c r="AN5" s="370">
        <v>0.97160000000000013</v>
      </c>
      <c r="AO5" s="114">
        <v>0</v>
      </c>
      <c r="AP5" s="111" t="s">
        <v>102</v>
      </c>
      <c r="AQ5" s="112">
        <v>5.46</v>
      </c>
      <c r="AR5" s="113">
        <v>12</v>
      </c>
      <c r="AS5" s="370">
        <v>0.97160000000000013</v>
      </c>
      <c r="AT5" s="65" t="s">
        <v>390</v>
      </c>
      <c r="AU5" s="224" t="s">
        <v>391</v>
      </c>
      <c r="AV5" s="225">
        <f>AU5/12</f>
        <v>1.5</v>
      </c>
      <c r="AW5" s="281">
        <v>75</v>
      </c>
      <c r="AX5" s="282">
        <v>150</v>
      </c>
      <c r="AY5" s="281">
        <f>ROUND(AW5-BK5,0)</f>
        <v>32</v>
      </c>
      <c r="AZ5" s="282">
        <f>ROUND(AX5-BK5,0)</f>
        <v>107</v>
      </c>
      <c r="BA5" s="227">
        <v>1.41</v>
      </c>
      <c r="BB5" s="224">
        <v>5</v>
      </c>
      <c r="BC5" s="226">
        <f>PI()*(BA5^2)/4*12*BB5*490/1728</f>
        <v>26.566338313844746</v>
      </c>
      <c r="BD5" s="227">
        <v>0.5</v>
      </c>
      <c r="BE5" s="227">
        <v>6</v>
      </c>
      <c r="BF5" s="228">
        <f t="shared" ref="BF5:BF18" si="0">((PI()*(AU5-(IF(AU5&lt;=48,3,6)*2)-BD5))^2+BE5^2)^0.5</f>
        <v>18.290859278146367</v>
      </c>
      <c r="BG5" s="229">
        <f>PI()*(BD5^2)/4*BF5</f>
        <v>3.5914018210043333</v>
      </c>
      <c r="BH5" s="230">
        <f>490/1728*BG5</f>
        <v>1.0183951922986825</v>
      </c>
      <c r="BI5" s="231">
        <f>BC5+BH5*12/BE5</f>
        <v>28.603128698442109</v>
      </c>
      <c r="BJ5" s="232">
        <v>1.5</v>
      </c>
      <c r="BK5" s="262">
        <f>BJ5*BI5</f>
        <v>42.904693047663166</v>
      </c>
    </row>
    <row r="6" spans="1:63" x14ac:dyDescent="0.25">
      <c r="A6" s="116" t="s">
        <v>88</v>
      </c>
      <c r="B6" s="117">
        <v>43.4</v>
      </c>
      <c r="C6" s="118">
        <v>210</v>
      </c>
      <c r="D6" s="119">
        <v>12.4</v>
      </c>
      <c r="E6" s="120">
        <v>0.42</v>
      </c>
      <c r="F6" s="120" t="s">
        <v>512</v>
      </c>
      <c r="G6" s="120">
        <v>12.087328391694486</v>
      </c>
      <c r="H6" s="121">
        <v>24</v>
      </c>
      <c r="I6" s="343">
        <v>3.6768999999999994</v>
      </c>
      <c r="J6" s="121">
        <f t="shared" ref="J6:J70" si="1">VALUE(RIGHT(A6,3))</f>
        <v>42</v>
      </c>
      <c r="K6" s="122">
        <v>5.46</v>
      </c>
      <c r="L6" s="123" t="s">
        <v>105</v>
      </c>
      <c r="M6" s="124">
        <v>5.56</v>
      </c>
      <c r="N6" s="125">
        <v>18</v>
      </c>
      <c r="O6" s="371">
        <v>0.92990000000000017</v>
      </c>
      <c r="P6" s="126">
        <v>5.46</v>
      </c>
      <c r="Q6" s="123" t="s">
        <v>105</v>
      </c>
      <c r="R6" s="124">
        <v>5.56</v>
      </c>
      <c r="S6" s="125">
        <v>18</v>
      </c>
      <c r="T6" s="371">
        <v>0.92990000000000017</v>
      </c>
      <c r="U6" s="126">
        <v>5.46</v>
      </c>
      <c r="V6" s="123" t="s">
        <v>105</v>
      </c>
      <c r="W6" s="124">
        <v>5.56</v>
      </c>
      <c r="X6" s="125">
        <v>18</v>
      </c>
      <c r="Y6" s="371">
        <v>0.92990000000000017</v>
      </c>
      <c r="Z6" s="126">
        <v>5.46</v>
      </c>
      <c r="AA6" s="123" t="s">
        <v>105</v>
      </c>
      <c r="AB6" s="124">
        <v>5.56</v>
      </c>
      <c r="AC6" s="125">
        <v>18</v>
      </c>
      <c r="AD6" s="371">
        <v>0.92990000000000017</v>
      </c>
      <c r="AE6" s="122">
        <v>5.46</v>
      </c>
      <c r="AF6" s="123" t="s">
        <v>105</v>
      </c>
      <c r="AG6" s="124">
        <v>5.56</v>
      </c>
      <c r="AH6" s="125">
        <v>18</v>
      </c>
      <c r="AI6" s="371">
        <v>0.92990000000000017</v>
      </c>
      <c r="AJ6" s="126">
        <v>5.46</v>
      </c>
      <c r="AK6" s="123" t="s">
        <v>105</v>
      </c>
      <c r="AL6" s="124">
        <v>5.56</v>
      </c>
      <c r="AM6" s="125">
        <v>18</v>
      </c>
      <c r="AN6" s="371">
        <v>0.92990000000000017</v>
      </c>
      <c r="AO6" s="126">
        <v>5.46</v>
      </c>
      <c r="AP6" s="123" t="s">
        <v>105</v>
      </c>
      <c r="AQ6" s="124">
        <v>5.56</v>
      </c>
      <c r="AR6" s="125">
        <v>18</v>
      </c>
      <c r="AS6" s="371">
        <v>0.92990000000000017</v>
      </c>
      <c r="AT6" s="61" t="s">
        <v>392</v>
      </c>
      <c r="AU6" s="233">
        <f t="shared" ref="AU6:AU13" si="2">AU5+6</f>
        <v>24</v>
      </c>
      <c r="AV6" s="128">
        <f t="shared" ref="AV6:AV18" si="3">AU6/12</f>
        <v>2</v>
      </c>
      <c r="AW6" s="283">
        <v>100</v>
      </c>
      <c r="AX6" s="284">
        <v>200</v>
      </c>
      <c r="AY6" s="283">
        <f t="shared" ref="AY6:AY18" si="4">ROUND(AW6-BK6,0)</f>
        <v>27</v>
      </c>
      <c r="AZ6" s="284">
        <f t="shared" ref="AZ6:AZ18" si="5">ROUND(AX6-BK6,0)</f>
        <v>127</v>
      </c>
      <c r="BA6" s="235">
        <v>1.41</v>
      </c>
      <c r="BB6" s="233">
        <v>8</v>
      </c>
      <c r="BC6" s="234">
        <f>PI()*(BA6^2)/4*12*BB6*490/1728</f>
        <v>42.50614130215159</v>
      </c>
      <c r="BD6" s="235">
        <v>0.5</v>
      </c>
      <c r="BE6" s="235">
        <v>6</v>
      </c>
      <c r="BF6" s="236">
        <f t="shared" si="0"/>
        <v>55.304306774731529</v>
      </c>
      <c r="BG6" s="237">
        <f>PI()*(BD6^2)/4*BF6</f>
        <v>10.8589752422108</v>
      </c>
      <c r="BH6" s="238">
        <f>490/1728*BG6</f>
        <v>3.0792233036361645</v>
      </c>
      <c r="BI6" s="239">
        <f t="shared" ref="BI6:BI18" si="6">BC6+BH6*12/BE6</f>
        <v>48.664587909423922</v>
      </c>
      <c r="BJ6" s="240">
        <v>1.5</v>
      </c>
      <c r="BK6" s="263">
        <f>BJ6*BI6</f>
        <v>72.996881864135887</v>
      </c>
    </row>
    <row r="7" spans="1:63" x14ac:dyDescent="0.25">
      <c r="A7" s="116" t="s">
        <v>89</v>
      </c>
      <c r="B7" s="117">
        <v>58.8</v>
      </c>
      <c r="C7" s="118">
        <v>294</v>
      </c>
      <c r="D7" s="119">
        <v>16.8</v>
      </c>
      <c r="E7" s="120">
        <v>0.56499999999999995</v>
      </c>
      <c r="F7" s="120" t="s">
        <v>512</v>
      </c>
      <c r="G7" s="120">
        <v>12.335605919618589</v>
      </c>
      <c r="H7" s="121">
        <v>24</v>
      </c>
      <c r="I7" s="343">
        <v>5.0058999999999996</v>
      </c>
      <c r="J7" s="121">
        <f t="shared" si="1"/>
        <v>57</v>
      </c>
      <c r="K7" s="122">
        <v>5.56</v>
      </c>
      <c r="L7" s="123" t="s">
        <v>106</v>
      </c>
      <c r="M7" s="124">
        <v>7.31</v>
      </c>
      <c r="N7" s="125">
        <v>18</v>
      </c>
      <c r="O7" s="371">
        <v>1.2581000000000002</v>
      </c>
      <c r="P7" s="126">
        <v>5.56</v>
      </c>
      <c r="Q7" s="123" t="s">
        <v>106</v>
      </c>
      <c r="R7" s="124">
        <v>7.31</v>
      </c>
      <c r="S7" s="125">
        <v>18</v>
      </c>
      <c r="T7" s="371">
        <v>1.2581000000000002</v>
      </c>
      <c r="U7" s="126">
        <v>5.56</v>
      </c>
      <c r="V7" s="123" t="s">
        <v>106</v>
      </c>
      <c r="W7" s="124">
        <v>7.31</v>
      </c>
      <c r="X7" s="125">
        <v>18</v>
      </c>
      <c r="Y7" s="371">
        <v>1.2581000000000002</v>
      </c>
      <c r="Z7" s="126">
        <v>5.56</v>
      </c>
      <c r="AA7" s="123" t="s">
        <v>106</v>
      </c>
      <c r="AB7" s="124">
        <v>7.31</v>
      </c>
      <c r="AC7" s="125">
        <v>18</v>
      </c>
      <c r="AD7" s="371">
        <v>1.2581000000000002</v>
      </c>
      <c r="AE7" s="122">
        <v>5.56</v>
      </c>
      <c r="AF7" s="123" t="s">
        <v>106</v>
      </c>
      <c r="AG7" s="124">
        <v>7.31</v>
      </c>
      <c r="AH7" s="125">
        <v>18</v>
      </c>
      <c r="AI7" s="371">
        <v>1.2581000000000002</v>
      </c>
      <c r="AJ7" s="126">
        <v>5.56</v>
      </c>
      <c r="AK7" s="123" t="s">
        <v>106</v>
      </c>
      <c r="AL7" s="124">
        <v>7.31</v>
      </c>
      <c r="AM7" s="125">
        <v>18</v>
      </c>
      <c r="AN7" s="371">
        <v>1.2581000000000002</v>
      </c>
      <c r="AO7" s="126">
        <v>5.56</v>
      </c>
      <c r="AP7" s="123" t="s">
        <v>106</v>
      </c>
      <c r="AQ7" s="124">
        <v>7.31</v>
      </c>
      <c r="AR7" s="125">
        <v>18</v>
      </c>
      <c r="AS7" s="371">
        <v>1.2581000000000002</v>
      </c>
      <c r="AT7" s="61" t="s">
        <v>393</v>
      </c>
      <c r="AU7" s="233">
        <f t="shared" si="2"/>
        <v>30</v>
      </c>
      <c r="AV7" s="128">
        <f t="shared" si="3"/>
        <v>2.5</v>
      </c>
      <c r="AW7" s="283">
        <v>150</v>
      </c>
      <c r="AX7" s="284">
        <v>300</v>
      </c>
      <c r="AY7" s="283">
        <f t="shared" si="4"/>
        <v>42</v>
      </c>
      <c r="AZ7" s="284">
        <f t="shared" si="5"/>
        <v>192</v>
      </c>
      <c r="BA7" s="235">
        <v>1.41</v>
      </c>
      <c r="BB7" s="233">
        <v>12</v>
      </c>
      <c r="BC7" s="234">
        <f>PI()*(BA7^2)/4*12*BB7*490/1728</f>
        <v>63.759211953227386</v>
      </c>
      <c r="BD7" s="235">
        <v>0.5</v>
      </c>
      <c r="BE7" s="235">
        <v>6</v>
      </c>
      <c r="BF7" s="236">
        <f t="shared" si="0"/>
        <v>74.070837922232243</v>
      </c>
      <c r="BG7" s="237">
        <f>PI()*(BD7^2)/4*BF7</f>
        <v>14.543775016357817</v>
      </c>
      <c r="BH7" s="238">
        <f>490/1728*BG7</f>
        <v>4.1241028692218347</v>
      </c>
      <c r="BI7" s="239">
        <f t="shared" si="6"/>
        <v>72.007417691671051</v>
      </c>
      <c r="BJ7" s="240">
        <v>1.5</v>
      </c>
      <c r="BK7" s="263">
        <f t="shared" ref="BK7:BK18" si="7">BJ7*BI7</f>
        <v>108.01112653750658</v>
      </c>
    </row>
    <row r="8" spans="1:63" x14ac:dyDescent="0.25">
      <c r="A8" s="51" t="s">
        <v>90</v>
      </c>
      <c r="B8" s="117">
        <v>66.8</v>
      </c>
      <c r="C8" s="118">
        <v>393</v>
      </c>
      <c r="D8" s="119">
        <v>15.5</v>
      </c>
      <c r="E8" s="120">
        <v>0.435</v>
      </c>
      <c r="F8" s="120" t="s">
        <v>512</v>
      </c>
      <c r="G8" s="120">
        <v>14.623781769136514</v>
      </c>
      <c r="H8" s="121">
        <v>24</v>
      </c>
      <c r="I8" s="343">
        <v>4.7458499999999999</v>
      </c>
      <c r="J8" s="121">
        <f t="shared" si="1"/>
        <v>53</v>
      </c>
      <c r="K8" s="122">
        <v>7.31</v>
      </c>
      <c r="L8" s="123" t="s">
        <v>111</v>
      </c>
      <c r="M8" s="124">
        <v>7.81</v>
      </c>
      <c r="N8" s="125">
        <v>18</v>
      </c>
      <c r="O8" s="371">
        <v>1.2716000000000001</v>
      </c>
      <c r="P8" s="126">
        <v>7.31</v>
      </c>
      <c r="Q8" s="123" t="s">
        <v>111</v>
      </c>
      <c r="R8" s="124">
        <v>7.81</v>
      </c>
      <c r="S8" s="125">
        <v>18</v>
      </c>
      <c r="T8" s="371">
        <v>1.2716000000000001</v>
      </c>
      <c r="U8" s="126">
        <v>7.31</v>
      </c>
      <c r="V8" s="123" t="s">
        <v>111</v>
      </c>
      <c r="W8" s="124">
        <v>7.81</v>
      </c>
      <c r="X8" s="125">
        <v>18</v>
      </c>
      <c r="Y8" s="371">
        <v>1.2716000000000001</v>
      </c>
      <c r="Z8" s="126">
        <v>7.31</v>
      </c>
      <c r="AA8" s="123" t="s">
        <v>111</v>
      </c>
      <c r="AB8" s="124">
        <v>7.81</v>
      </c>
      <c r="AC8" s="125">
        <v>18</v>
      </c>
      <c r="AD8" s="371">
        <v>1.2716000000000001</v>
      </c>
      <c r="AE8" s="122">
        <v>7.31</v>
      </c>
      <c r="AF8" s="123" t="s">
        <v>111</v>
      </c>
      <c r="AG8" s="124">
        <v>7.81</v>
      </c>
      <c r="AH8" s="125">
        <v>18</v>
      </c>
      <c r="AI8" s="371">
        <v>1.2716000000000001</v>
      </c>
      <c r="AJ8" s="126">
        <v>7.31</v>
      </c>
      <c r="AK8" s="123" t="s">
        <v>111</v>
      </c>
      <c r="AL8" s="124">
        <v>7.81</v>
      </c>
      <c r="AM8" s="125">
        <v>18</v>
      </c>
      <c r="AN8" s="371">
        <v>1.2716000000000001</v>
      </c>
      <c r="AO8" s="126">
        <v>7.31</v>
      </c>
      <c r="AP8" s="123" t="s">
        <v>111</v>
      </c>
      <c r="AQ8" s="124">
        <v>7.81</v>
      </c>
      <c r="AR8" s="125">
        <v>18</v>
      </c>
      <c r="AS8" s="371">
        <v>1.2716000000000001</v>
      </c>
      <c r="AT8" s="61" t="s">
        <v>394</v>
      </c>
      <c r="AU8" s="233">
        <f t="shared" si="2"/>
        <v>36</v>
      </c>
      <c r="AV8" s="128">
        <f t="shared" si="3"/>
        <v>3</v>
      </c>
      <c r="AW8" s="283">
        <v>175</v>
      </c>
      <c r="AX8" s="284">
        <v>350</v>
      </c>
      <c r="AY8" s="283">
        <f t="shared" si="4"/>
        <v>40</v>
      </c>
      <c r="AZ8" s="284">
        <f t="shared" si="5"/>
        <v>215</v>
      </c>
      <c r="BA8" s="235">
        <v>1.41</v>
      </c>
      <c r="BB8" s="233">
        <v>15</v>
      </c>
      <c r="BC8" s="234">
        <f>PI()*(BA8^2)/4*12*BB8*490/1728</f>
        <v>79.699014941534244</v>
      </c>
      <c r="BD8" s="235">
        <v>0.5</v>
      </c>
      <c r="BE8" s="235">
        <v>6</v>
      </c>
      <c r="BF8" s="236">
        <f t="shared" si="0"/>
        <v>92.871003171323679</v>
      </c>
      <c r="BG8" s="237">
        <f>PI()*(BD8^2)/4*BF8</f>
        <v>18.235178830909053</v>
      </c>
      <c r="BH8" s="238">
        <f>490/1728*BG8</f>
        <v>5.1708551083017573</v>
      </c>
      <c r="BI8" s="239">
        <f t="shared" si="6"/>
        <v>90.040725158137761</v>
      </c>
      <c r="BJ8" s="240">
        <v>1.5</v>
      </c>
      <c r="BK8" s="263">
        <f t="shared" si="7"/>
        <v>135.06108773720663</v>
      </c>
    </row>
    <row r="9" spans="1:63" x14ac:dyDescent="0.25">
      <c r="A9" s="116" t="s">
        <v>91</v>
      </c>
      <c r="B9" s="117">
        <v>79.099999999999994</v>
      </c>
      <c r="C9" s="118">
        <v>472</v>
      </c>
      <c r="D9" s="119">
        <v>18.399999999999999</v>
      </c>
      <c r="E9" s="120">
        <v>0.51500000000000001</v>
      </c>
      <c r="F9" s="120" t="s">
        <v>512</v>
      </c>
      <c r="G9" s="120">
        <v>14.740622971758404</v>
      </c>
      <c r="H9" s="121">
        <v>24</v>
      </c>
      <c r="I9" s="343">
        <v>5.6186500000000006</v>
      </c>
      <c r="J9" s="121">
        <f t="shared" si="1"/>
        <v>63</v>
      </c>
      <c r="K9" s="122">
        <v>7.81</v>
      </c>
      <c r="L9" s="123" t="s">
        <v>103</v>
      </c>
      <c r="M9" s="124">
        <v>8.51</v>
      </c>
      <c r="N9" s="125">
        <v>18</v>
      </c>
      <c r="O9" s="371">
        <v>1.0296000000000001</v>
      </c>
      <c r="P9" s="126">
        <v>7.81</v>
      </c>
      <c r="Q9" s="123" t="s">
        <v>103</v>
      </c>
      <c r="R9" s="124">
        <v>8.51</v>
      </c>
      <c r="S9" s="125">
        <v>18</v>
      </c>
      <c r="T9" s="371">
        <v>1.0296000000000001</v>
      </c>
      <c r="U9" s="126">
        <v>7.81</v>
      </c>
      <c r="V9" s="123" t="s">
        <v>103</v>
      </c>
      <c r="W9" s="124">
        <v>8.51</v>
      </c>
      <c r="X9" s="125">
        <v>18</v>
      </c>
      <c r="Y9" s="371">
        <v>1.0296000000000001</v>
      </c>
      <c r="Z9" s="126">
        <v>7.81</v>
      </c>
      <c r="AA9" s="123" t="s">
        <v>103</v>
      </c>
      <c r="AB9" s="124">
        <v>8.51</v>
      </c>
      <c r="AC9" s="125">
        <v>18</v>
      </c>
      <c r="AD9" s="371">
        <v>1.0296000000000001</v>
      </c>
      <c r="AE9" s="122">
        <v>7.81</v>
      </c>
      <c r="AF9" s="123" t="s">
        <v>103</v>
      </c>
      <c r="AG9" s="124">
        <v>8.51</v>
      </c>
      <c r="AH9" s="125">
        <v>18</v>
      </c>
      <c r="AI9" s="371">
        <v>1.0296000000000001</v>
      </c>
      <c r="AJ9" s="126">
        <v>7.81</v>
      </c>
      <c r="AK9" s="123" t="s">
        <v>103</v>
      </c>
      <c r="AL9" s="124">
        <v>8.51</v>
      </c>
      <c r="AM9" s="125">
        <v>18</v>
      </c>
      <c r="AN9" s="371">
        <v>1.0296000000000001</v>
      </c>
      <c r="AO9" s="126">
        <v>7.81</v>
      </c>
      <c r="AP9" s="123" t="s">
        <v>103</v>
      </c>
      <c r="AQ9" s="124">
        <v>8.51</v>
      </c>
      <c r="AR9" s="125">
        <v>18</v>
      </c>
      <c r="AS9" s="371">
        <v>1.0296000000000001</v>
      </c>
      <c r="AT9" s="61" t="s">
        <v>395</v>
      </c>
      <c r="AU9" s="233">
        <f t="shared" si="2"/>
        <v>42</v>
      </c>
      <c r="AV9" s="128">
        <f t="shared" si="3"/>
        <v>3.5</v>
      </c>
      <c r="AW9" s="283">
        <v>250</v>
      </c>
      <c r="AX9" s="284">
        <v>400</v>
      </c>
      <c r="AY9" s="283">
        <f t="shared" si="4"/>
        <v>88</v>
      </c>
      <c r="AZ9" s="284">
        <f t="shared" si="5"/>
        <v>238</v>
      </c>
      <c r="BA9" s="235">
        <v>1.41</v>
      </c>
      <c r="BB9" s="233">
        <v>18</v>
      </c>
      <c r="BC9" s="238">
        <f>PI()*(BA9^2)/4*12*BB9*490/1728</f>
        <v>95.638817929841082</v>
      </c>
      <c r="BD9" s="235">
        <v>0.5</v>
      </c>
      <c r="BE9" s="235">
        <v>6</v>
      </c>
      <c r="BF9" s="236">
        <f t="shared" si="0"/>
        <v>111.68781914995415</v>
      </c>
      <c r="BG9" s="237">
        <f>PI()*(BD9^2)/4*BF9</f>
        <v>21.929852008560086</v>
      </c>
      <c r="BH9" s="238">
        <f>490/1728*BG9</f>
        <v>6.2185344237236357</v>
      </c>
      <c r="BI9" s="239">
        <f t="shared" si="6"/>
        <v>108.07588677728836</v>
      </c>
      <c r="BJ9" s="240">
        <v>1.5</v>
      </c>
      <c r="BK9" s="263">
        <f t="shared" si="7"/>
        <v>162.11383016593254</v>
      </c>
    </row>
    <row r="10" spans="1:63" x14ac:dyDescent="0.25">
      <c r="A10" s="116" t="s">
        <v>92</v>
      </c>
      <c r="B10" s="117">
        <v>93.8</v>
      </c>
      <c r="C10" s="118">
        <v>569</v>
      </c>
      <c r="D10" s="119">
        <v>21.8</v>
      </c>
      <c r="E10" s="120">
        <v>0.61</v>
      </c>
      <c r="F10" s="120" t="s">
        <v>512</v>
      </c>
      <c r="G10" s="120">
        <v>14.885000887474002</v>
      </c>
      <c r="H10" s="121">
        <v>24</v>
      </c>
      <c r="I10" s="343">
        <v>6.6005500000000001</v>
      </c>
      <c r="J10" s="121">
        <f t="shared" si="1"/>
        <v>74</v>
      </c>
      <c r="K10" s="122">
        <v>8.51</v>
      </c>
      <c r="L10" s="123" t="s">
        <v>108</v>
      </c>
      <c r="M10" s="128">
        <v>9.7200000000000006</v>
      </c>
      <c r="N10" s="125">
        <v>18</v>
      </c>
      <c r="O10" s="371">
        <v>1.2581000000000002</v>
      </c>
      <c r="P10" s="126">
        <v>8.51</v>
      </c>
      <c r="Q10" s="123" t="s">
        <v>108</v>
      </c>
      <c r="R10" s="128">
        <v>9.7200000000000006</v>
      </c>
      <c r="S10" s="125">
        <v>18</v>
      </c>
      <c r="T10" s="371">
        <v>1.2581000000000002</v>
      </c>
      <c r="U10" s="126">
        <v>8.51</v>
      </c>
      <c r="V10" s="123" t="s">
        <v>108</v>
      </c>
      <c r="W10" s="128">
        <v>9.7200000000000006</v>
      </c>
      <c r="X10" s="125">
        <v>18</v>
      </c>
      <c r="Y10" s="371">
        <v>1.2581000000000002</v>
      </c>
      <c r="Z10" s="126">
        <v>8.51</v>
      </c>
      <c r="AA10" s="123" t="s">
        <v>108</v>
      </c>
      <c r="AB10" s="128">
        <v>9.7200000000000006</v>
      </c>
      <c r="AC10" s="125">
        <v>18</v>
      </c>
      <c r="AD10" s="371">
        <v>1.2581000000000002</v>
      </c>
      <c r="AE10" s="122">
        <v>8.51</v>
      </c>
      <c r="AF10" s="123" t="s">
        <v>108</v>
      </c>
      <c r="AG10" s="128">
        <v>9.7200000000000006</v>
      </c>
      <c r="AH10" s="125">
        <v>18</v>
      </c>
      <c r="AI10" s="371">
        <v>1.2581000000000002</v>
      </c>
      <c r="AJ10" s="126">
        <v>8.51</v>
      </c>
      <c r="AK10" s="123" t="s">
        <v>108</v>
      </c>
      <c r="AL10" s="128">
        <v>9.7200000000000006</v>
      </c>
      <c r="AM10" s="125">
        <v>18</v>
      </c>
      <c r="AN10" s="371">
        <v>1.2581000000000002</v>
      </c>
      <c r="AO10" s="126">
        <v>8.51</v>
      </c>
      <c r="AP10" s="123" t="s">
        <v>108</v>
      </c>
      <c r="AQ10" s="128">
        <v>9.7200000000000006</v>
      </c>
      <c r="AR10" s="125">
        <v>18</v>
      </c>
      <c r="AS10" s="371">
        <v>1.2581000000000002</v>
      </c>
      <c r="AT10" s="61" t="s">
        <v>396</v>
      </c>
      <c r="AU10" s="233">
        <f t="shared" si="2"/>
        <v>48</v>
      </c>
      <c r="AV10" s="128">
        <f t="shared" si="3"/>
        <v>4</v>
      </c>
      <c r="AW10" s="283">
        <v>300</v>
      </c>
      <c r="AX10" s="284">
        <v>500</v>
      </c>
      <c r="AY10" s="283">
        <f t="shared" si="4"/>
        <v>103</v>
      </c>
      <c r="AZ10" s="284">
        <f t="shared" si="5"/>
        <v>303</v>
      </c>
      <c r="BA10" s="235">
        <v>1.41</v>
      </c>
      <c r="BB10" s="233">
        <v>22</v>
      </c>
      <c r="BC10" s="234">
        <f t="shared" ref="BC10:BC18" si="8">PI()*(BA10^2)/4*12*BB10*490/1728</f>
        <v>116.89188858091687</v>
      </c>
      <c r="BD10" s="235">
        <v>0.5</v>
      </c>
      <c r="BE10" s="235">
        <v>6</v>
      </c>
      <c r="BF10" s="236">
        <f t="shared" si="0"/>
        <v>130.51408421996513</v>
      </c>
      <c r="BG10" s="237">
        <f t="shared" ref="BG10:BG18" si="9">PI()*(BD10^2)/4*BF10</f>
        <v>25.626380510965124</v>
      </c>
      <c r="BH10" s="238">
        <f t="shared" ref="BH10:BH18" si="10">490/1728*BG10</f>
        <v>7.2667398439658051</v>
      </c>
      <c r="BI10" s="239">
        <f t="shared" si="6"/>
        <v>131.42536826884847</v>
      </c>
      <c r="BJ10" s="240">
        <v>1.5</v>
      </c>
      <c r="BK10" s="263">
        <f t="shared" si="7"/>
        <v>197.1380524032727</v>
      </c>
    </row>
    <row r="11" spans="1:63" x14ac:dyDescent="0.25">
      <c r="A11" s="51" t="s">
        <v>93</v>
      </c>
      <c r="B11" s="117">
        <v>106</v>
      </c>
      <c r="C11" s="118">
        <v>650</v>
      </c>
      <c r="D11" s="119">
        <v>24.6</v>
      </c>
      <c r="E11" s="120">
        <v>0.68500000000000005</v>
      </c>
      <c r="F11" s="120" t="s">
        <v>512</v>
      </c>
      <c r="G11" s="120">
        <v>15.036201517116396</v>
      </c>
      <c r="H11" s="121">
        <v>24</v>
      </c>
      <c r="I11" s="343">
        <v>7.4733500000000008</v>
      </c>
      <c r="J11" s="121">
        <f t="shared" si="1"/>
        <v>84</v>
      </c>
      <c r="K11" s="122">
        <v>9.7200000000000006</v>
      </c>
      <c r="L11" s="123" t="s">
        <v>112</v>
      </c>
      <c r="M11" s="124">
        <v>9.91</v>
      </c>
      <c r="N11" s="125">
        <v>18</v>
      </c>
      <c r="O11" s="371">
        <v>1.7204000000000002</v>
      </c>
      <c r="P11" s="126">
        <v>9.7200000000000006</v>
      </c>
      <c r="Q11" s="123" t="s">
        <v>112</v>
      </c>
      <c r="R11" s="124">
        <v>9.91</v>
      </c>
      <c r="S11" s="125">
        <v>18</v>
      </c>
      <c r="T11" s="371">
        <v>1.7204000000000002</v>
      </c>
      <c r="U11" s="126">
        <v>9.7200000000000006</v>
      </c>
      <c r="V11" s="123" t="s">
        <v>112</v>
      </c>
      <c r="W11" s="124">
        <v>9.91</v>
      </c>
      <c r="X11" s="125">
        <v>18</v>
      </c>
      <c r="Y11" s="371">
        <v>1.7204000000000002</v>
      </c>
      <c r="Z11" s="126">
        <v>9.7200000000000006</v>
      </c>
      <c r="AA11" s="123" t="s">
        <v>112</v>
      </c>
      <c r="AB11" s="124">
        <v>9.91</v>
      </c>
      <c r="AC11" s="125">
        <v>18</v>
      </c>
      <c r="AD11" s="371">
        <v>1.7204000000000002</v>
      </c>
      <c r="AE11" s="122">
        <v>9.7200000000000006</v>
      </c>
      <c r="AF11" s="123" t="s">
        <v>112</v>
      </c>
      <c r="AG11" s="124">
        <v>9.91</v>
      </c>
      <c r="AH11" s="125">
        <v>18</v>
      </c>
      <c r="AI11" s="371">
        <v>1.7204000000000002</v>
      </c>
      <c r="AJ11" s="126">
        <v>9.7200000000000006</v>
      </c>
      <c r="AK11" s="123" t="s">
        <v>112</v>
      </c>
      <c r="AL11" s="124">
        <v>9.91</v>
      </c>
      <c r="AM11" s="125">
        <v>18</v>
      </c>
      <c r="AN11" s="371">
        <v>1.7204000000000002</v>
      </c>
      <c r="AO11" s="126">
        <v>9.7200000000000006</v>
      </c>
      <c r="AP11" s="123" t="s">
        <v>112</v>
      </c>
      <c r="AQ11" s="124">
        <v>9.91</v>
      </c>
      <c r="AR11" s="125">
        <v>18</v>
      </c>
      <c r="AS11" s="371">
        <v>1.7204000000000002</v>
      </c>
      <c r="AT11" s="65" t="s">
        <v>397</v>
      </c>
      <c r="AU11" s="224">
        <f t="shared" si="2"/>
        <v>54</v>
      </c>
      <c r="AV11" s="225">
        <f t="shared" si="3"/>
        <v>4.5</v>
      </c>
      <c r="AW11" s="281">
        <v>400</v>
      </c>
      <c r="AX11" s="282">
        <v>625</v>
      </c>
      <c r="AY11" s="281">
        <f t="shared" si="4"/>
        <v>203</v>
      </c>
      <c r="AZ11" s="282">
        <f t="shared" si="5"/>
        <v>428</v>
      </c>
      <c r="BA11" s="227">
        <v>1.41</v>
      </c>
      <c r="BB11" s="224">
        <v>22</v>
      </c>
      <c r="BC11" s="226">
        <f t="shared" si="8"/>
        <v>116.89188858091687</v>
      </c>
      <c r="BD11" s="227">
        <v>0.5</v>
      </c>
      <c r="BE11" s="227">
        <v>6</v>
      </c>
      <c r="BF11" s="228">
        <f t="shared" si="0"/>
        <v>130.51408421996513</v>
      </c>
      <c r="BG11" s="229">
        <f t="shared" si="9"/>
        <v>25.626380510965124</v>
      </c>
      <c r="BH11" s="230">
        <f t="shared" si="10"/>
        <v>7.2667398439658051</v>
      </c>
      <c r="BI11" s="231">
        <f t="shared" si="6"/>
        <v>131.42536826884847</v>
      </c>
      <c r="BJ11" s="241">
        <v>1.5</v>
      </c>
      <c r="BK11" s="264">
        <f t="shared" si="7"/>
        <v>197.1380524032727</v>
      </c>
    </row>
    <row r="12" spans="1:63" x14ac:dyDescent="0.25">
      <c r="A12" s="116" t="s">
        <v>94</v>
      </c>
      <c r="B12" s="117">
        <v>80.3</v>
      </c>
      <c r="C12" s="118">
        <v>503</v>
      </c>
      <c r="D12" s="119">
        <v>17.5</v>
      </c>
      <c r="E12" s="120">
        <v>0.46</v>
      </c>
      <c r="F12" s="120" t="s">
        <v>512</v>
      </c>
      <c r="G12" s="120">
        <v>15.58627518679366</v>
      </c>
      <c r="H12" s="121">
        <v>24</v>
      </c>
      <c r="I12" s="343">
        <v>5.3452000000000002</v>
      </c>
      <c r="J12" s="121">
        <f t="shared" si="1"/>
        <v>60</v>
      </c>
      <c r="K12" s="122">
        <v>9.91</v>
      </c>
      <c r="L12" s="123" t="s">
        <v>104</v>
      </c>
      <c r="M12" s="128">
        <v>10.199999999999999</v>
      </c>
      <c r="N12" s="125">
        <v>18</v>
      </c>
      <c r="O12" s="371">
        <v>1.1583000000000001</v>
      </c>
      <c r="P12" s="126">
        <v>9.91</v>
      </c>
      <c r="Q12" s="123" t="s">
        <v>104</v>
      </c>
      <c r="R12" s="128">
        <v>10.199999999999999</v>
      </c>
      <c r="S12" s="125">
        <v>18</v>
      </c>
      <c r="T12" s="371">
        <v>1.1583000000000001</v>
      </c>
      <c r="U12" s="126">
        <v>9.91</v>
      </c>
      <c r="V12" s="123" t="s">
        <v>104</v>
      </c>
      <c r="W12" s="128">
        <v>10.199999999999999</v>
      </c>
      <c r="X12" s="125">
        <v>18</v>
      </c>
      <c r="Y12" s="371">
        <v>1.1583000000000001</v>
      </c>
      <c r="Z12" s="126">
        <v>9.91</v>
      </c>
      <c r="AA12" s="123" t="s">
        <v>104</v>
      </c>
      <c r="AB12" s="128">
        <v>10.199999999999999</v>
      </c>
      <c r="AC12" s="125">
        <v>18</v>
      </c>
      <c r="AD12" s="371">
        <v>1.1583000000000001</v>
      </c>
      <c r="AE12" s="122">
        <v>9.91</v>
      </c>
      <c r="AF12" s="123" t="s">
        <v>104</v>
      </c>
      <c r="AG12" s="128">
        <v>10.199999999999999</v>
      </c>
      <c r="AH12" s="125">
        <v>18</v>
      </c>
      <c r="AI12" s="371">
        <v>1.1583000000000001</v>
      </c>
      <c r="AJ12" s="126">
        <v>9.91</v>
      </c>
      <c r="AK12" s="123" t="s">
        <v>104</v>
      </c>
      <c r="AL12" s="128">
        <v>10.199999999999999</v>
      </c>
      <c r="AM12" s="125">
        <v>18</v>
      </c>
      <c r="AN12" s="371">
        <v>1.1583000000000001</v>
      </c>
      <c r="AO12" s="126">
        <v>9.91</v>
      </c>
      <c r="AP12" s="123" t="s">
        <v>104</v>
      </c>
      <c r="AQ12" s="128">
        <v>10.199999999999999</v>
      </c>
      <c r="AR12" s="125">
        <v>18</v>
      </c>
      <c r="AS12" s="371">
        <v>1.1583000000000001</v>
      </c>
      <c r="AT12" s="265" t="s">
        <v>398</v>
      </c>
      <c r="AU12" s="242">
        <f t="shared" si="2"/>
        <v>60</v>
      </c>
      <c r="AV12" s="243">
        <f t="shared" si="3"/>
        <v>5</v>
      </c>
      <c r="AW12" s="285">
        <v>550</v>
      </c>
      <c r="AX12" s="286">
        <v>750</v>
      </c>
      <c r="AY12" s="285">
        <f t="shared" si="4"/>
        <v>326</v>
      </c>
      <c r="AZ12" s="286">
        <f t="shared" si="5"/>
        <v>526</v>
      </c>
      <c r="BA12" s="245">
        <v>1.41</v>
      </c>
      <c r="BB12" s="242">
        <v>25</v>
      </c>
      <c r="BC12" s="244">
        <f t="shared" si="8"/>
        <v>132.83169156922372</v>
      </c>
      <c r="BD12" s="245">
        <v>0.5</v>
      </c>
      <c r="BE12" s="245">
        <v>6</v>
      </c>
      <c r="BF12" s="246">
        <f t="shared" si="0"/>
        <v>149.34622502747723</v>
      </c>
      <c r="BG12" s="247">
        <f t="shared" si="9"/>
        <v>29.324062711730662</v>
      </c>
      <c r="BH12" s="248">
        <f t="shared" si="10"/>
        <v>8.3152724124699215</v>
      </c>
      <c r="BI12" s="249">
        <f t="shared" si="6"/>
        <v>149.46223639416357</v>
      </c>
      <c r="BJ12" s="250">
        <v>1.5</v>
      </c>
      <c r="BK12" s="266">
        <f t="shared" si="7"/>
        <v>224.19335459124534</v>
      </c>
    </row>
    <row r="13" spans="1:63" x14ac:dyDescent="0.25">
      <c r="A13" s="116" t="s">
        <v>95</v>
      </c>
      <c r="B13" s="117">
        <v>98.8</v>
      </c>
      <c r="C13" s="118">
        <v>630</v>
      </c>
      <c r="D13" s="119">
        <v>21.6</v>
      </c>
      <c r="E13" s="120">
        <v>0.56499999999999995</v>
      </c>
      <c r="F13" s="120" t="s">
        <v>512</v>
      </c>
      <c r="G13" s="120">
        <v>15.750730239216931</v>
      </c>
      <c r="H13" s="121">
        <v>30</v>
      </c>
      <c r="I13" s="343">
        <v>6.5652999999999997</v>
      </c>
      <c r="J13" s="121">
        <f t="shared" si="1"/>
        <v>73</v>
      </c>
      <c r="K13" s="122">
        <v>10.199999999999999</v>
      </c>
      <c r="L13" s="123" t="s">
        <v>107</v>
      </c>
      <c r="M13" s="128">
        <v>10.199999999999999</v>
      </c>
      <c r="N13" s="125">
        <v>18</v>
      </c>
      <c r="O13" s="371">
        <v>1.4222000000000001</v>
      </c>
      <c r="P13" s="126">
        <v>10.199999999999999</v>
      </c>
      <c r="Q13" s="123" t="s">
        <v>107</v>
      </c>
      <c r="R13" s="128">
        <v>10.199999999999999</v>
      </c>
      <c r="S13" s="125">
        <v>18</v>
      </c>
      <c r="T13" s="371">
        <v>1.4222000000000001</v>
      </c>
      <c r="U13" s="126">
        <v>10.199999999999999</v>
      </c>
      <c r="V13" s="123" t="s">
        <v>107</v>
      </c>
      <c r="W13" s="128">
        <v>10.199999999999999</v>
      </c>
      <c r="X13" s="125">
        <v>18</v>
      </c>
      <c r="Y13" s="371">
        <v>1.4222000000000001</v>
      </c>
      <c r="Z13" s="126">
        <v>10.199999999999999</v>
      </c>
      <c r="AA13" s="123" t="s">
        <v>107</v>
      </c>
      <c r="AB13" s="128">
        <v>10.199999999999999</v>
      </c>
      <c r="AC13" s="125">
        <v>18</v>
      </c>
      <c r="AD13" s="371">
        <v>1.4222000000000001</v>
      </c>
      <c r="AE13" s="122">
        <v>10.199999999999999</v>
      </c>
      <c r="AF13" s="123" t="s">
        <v>107</v>
      </c>
      <c r="AG13" s="128">
        <v>10.199999999999999</v>
      </c>
      <c r="AH13" s="125">
        <v>18</v>
      </c>
      <c r="AI13" s="371">
        <v>1.4222000000000001</v>
      </c>
      <c r="AJ13" s="126">
        <v>10.199999999999999</v>
      </c>
      <c r="AK13" s="123" t="s">
        <v>107</v>
      </c>
      <c r="AL13" s="128">
        <v>10.199999999999999</v>
      </c>
      <c r="AM13" s="125">
        <v>18</v>
      </c>
      <c r="AN13" s="371">
        <v>1.4222000000000001</v>
      </c>
      <c r="AO13" s="126">
        <v>10.199999999999999</v>
      </c>
      <c r="AP13" s="123" t="s">
        <v>107</v>
      </c>
      <c r="AQ13" s="128">
        <v>10.199999999999999</v>
      </c>
      <c r="AR13" s="125">
        <v>18</v>
      </c>
      <c r="AS13" s="371">
        <v>1.4222000000000001</v>
      </c>
      <c r="AT13" s="65" t="s">
        <v>399</v>
      </c>
      <c r="AU13" s="224">
        <f t="shared" si="2"/>
        <v>66</v>
      </c>
      <c r="AV13" s="225">
        <f t="shared" si="3"/>
        <v>5.5</v>
      </c>
      <c r="AW13" s="283">
        <v>700</v>
      </c>
      <c r="AX13" s="284">
        <v>1850</v>
      </c>
      <c r="AY13" s="283">
        <f t="shared" si="4"/>
        <v>449</v>
      </c>
      <c r="AZ13" s="284">
        <f t="shared" si="5"/>
        <v>1599</v>
      </c>
      <c r="BA13" s="235">
        <v>1.41</v>
      </c>
      <c r="BB13" s="233">
        <v>28</v>
      </c>
      <c r="BC13" s="234">
        <f t="shared" si="8"/>
        <v>148.77149455753056</v>
      </c>
      <c r="BD13" s="235">
        <v>0.5</v>
      </c>
      <c r="BE13" s="235">
        <v>6</v>
      </c>
      <c r="BF13" s="236">
        <f t="shared" si="0"/>
        <v>168.18226778414547</v>
      </c>
      <c r="BG13" s="237">
        <f t="shared" si="9"/>
        <v>33.022511058421422</v>
      </c>
      <c r="BH13" s="238">
        <f t="shared" si="10"/>
        <v>9.364022233001446</v>
      </c>
      <c r="BI13" s="239">
        <f t="shared" si="6"/>
        <v>167.49953902353346</v>
      </c>
      <c r="BJ13" s="240">
        <v>1.5</v>
      </c>
      <c r="BK13" s="263">
        <f t="shared" si="7"/>
        <v>251.2493085353002</v>
      </c>
    </row>
    <row r="14" spans="1:63" x14ac:dyDescent="0.25">
      <c r="A14" s="51" t="s">
        <v>96</v>
      </c>
      <c r="B14" s="117">
        <v>117</v>
      </c>
      <c r="C14" s="118">
        <v>755</v>
      </c>
      <c r="D14" s="119">
        <v>25.5</v>
      </c>
      <c r="E14" s="120">
        <v>0.66500000000000004</v>
      </c>
      <c r="F14" s="120" t="s">
        <v>512</v>
      </c>
      <c r="G14" s="120">
        <v>15.939760726826997</v>
      </c>
      <c r="H14" s="121">
        <v>30</v>
      </c>
      <c r="I14" s="343">
        <v>7.7272999999999996</v>
      </c>
      <c r="J14" s="121">
        <f t="shared" si="1"/>
        <v>87</v>
      </c>
      <c r="K14" s="122">
        <v>10.199999999999999</v>
      </c>
      <c r="L14" s="123" t="s">
        <v>124</v>
      </c>
      <c r="M14" s="128">
        <v>10.9</v>
      </c>
      <c r="N14" s="125">
        <v>18</v>
      </c>
      <c r="O14" s="371">
        <v>1.7954999999999999</v>
      </c>
      <c r="P14" s="126">
        <v>10.199999999999999</v>
      </c>
      <c r="Q14" s="123" t="s">
        <v>124</v>
      </c>
      <c r="R14" s="128">
        <v>10.9</v>
      </c>
      <c r="S14" s="125">
        <v>18</v>
      </c>
      <c r="T14" s="371">
        <v>1.7954999999999999</v>
      </c>
      <c r="U14" s="126">
        <v>10.199999999999999</v>
      </c>
      <c r="V14" s="123" t="s">
        <v>124</v>
      </c>
      <c r="W14" s="128">
        <v>10.9</v>
      </c>
      <c r="X14" s="125">
        <v>18</v>
      </c>
      <c r="Y14" s="371">
        <v>1.7954999999999999</v>
      </c>
      <c r="Z14" s="126">
        <v>10.199999999999999</v>
      </c>
      <c r="AA14" s="123" t="s">
        <v>124</v>
      </c>
      <c r="AB14" s="128">
        <v>10.9</v>
      </c>
      <c r="AC14" s="125">
        <v>18</v>
      </c>
      <c r="AD14" s="371">
        <v>1.7954999999999999</v>
      </c>
      <c r="AE14" s="122">
        <v>10.199999999999999</v>
      </c>
      <c r="AF14" s="123" t="s">
        <v>124</v>
      </c>
      <c r="AG14" s="128">
        <v>10.9</v>
      </c>
      <c r="AH14" s="125">
        <v>18</v>
      </c>
      <c r="AI14" s="371">
        <v>1.7954999999999999</v>
      </c>
      <c r="AJ14" s="126">
        <v>10.199999999999999</v>
      </c>
      <c r="AK14" s="123" t="s">
        <v>124</v>
      </c>
      <c r="AL14" s="128">
        <v>10.9</v>
      </c>
      <c r="AM14" s="125">
        <v>18</v>
      </c>
      <c r="AN14" s="371">
        <v>1.7954999999999999</v>
      </c>
      <c r="AO14" s="126">
        <v>10.199999999999999</v>
      </c>
      <c r="AP14" s="123" t="s">
        <v>124</v>
      </c>
      <c r="AQ14" s="128">
        <v>10.9</v>
      </c>
      <c r="AR14" s="125">
        <v>18</v>
      </c>
      <c r="AS14" s="371">
        <v>1.7954999999999999</v>
      </c>
      <c r="AT14" s="59" t="s">
        <v>400</v>
      </c>
      <c r="AU14" s="233">
        <v>72</v>
      </c>
      <c r="AV14" s="128">
        <f t="shared" si="3"/>
        <v>6</v>
      </c>
      <c r="AW14" s="283">
        <v>1000</v>
      </c>
      <c r="AX14" s="284">
        <v>2000</v>
      </c>
      <c r="AY14" s="283">
        <f t="shared" si="4"/>
        <v>714</v>
      </c>
      <c r="AZ14" s="284">
        <f t="shared" si="5"/>
        <v>1714</v>
      </c>
      <c r="BA14" s="235">
        <v>1.41</v>
      </c>
      <c r="BB14" s="233">
        <v>32</v>
      </c>
      <c r="BC14" s="234">
        <f t="shared" si="8"/>
        <v>170.02456520860636</v>
      </c>
      <c r="BD14" s="235">
        <v>0.5</v>
      </c>
      <c r="BE14" s="235">
        <v>6</v>
      </c>
      <c r="BF14" s="236">
        <f t="shared" si="0"/>
        <v>187.02103352552783</v>
      </c>
      <c r="BG14" s="237">
        <f t="shared" si="9"/>
        <v>36.721494061910541</v>
      </c>
      <c r="BH14" s="238">
        <f t="shared" si="10"/>
        <v>10.412923663388984</v>
      </c>
      <c r="BI14" s="239">
        <f t="shared" si="6"/>
        <v>190.85041253538432</v>
      </c>
      <c r="BJ14" s="240">
        <v>1.5</v>
      </c>
      <c r="BK14" s="263">
        <f t="shared" si="7"/>
        <v>286.2756188030765</v>
      </c>
    </row>
    <row r="15" spans="1:63" x14ac:dyDescent="0.25">
      <c r="A15" s="116" t="s">
        <v>97</v>
      </c>
      <c r="B15" s="117">
        <v>135</v>
      </c>
      <c r="C15" s="118">
        <v>886</v>
      </c>
      <c r="D15" s="119">
        <v>29.4</v>
      </c>
      <c r="E15" s="120">
        <v>0.76500000000000001</v>
      </c>
      <c r="F15" s="120" t="s">
        <v>512</v>
      </c>
      <c r="G15" s="120">
        <v>16.104634246833935</v>
      </c>
      <c r="H15" s="121">
        <v>30</v>
      </c>
      <c r="I15" s="343">
        <v>8.8893000000000004</v>
      </c>
      <c r="J15" s="121">
        <f t="shared" si="1"/>
        <v>100</v>
      </c>
      <c r="K15" s="122">
        <v>10.9</v>
      </c>
      <c r="L15" s="123" t="s">
        <v>113</v>
      </c>
      <c r="M15" s="128">
        <v>11.8</v>
      </c>
      <c r="N15" s="125">
        <v>18</v>
      </c>
      <c r="O15" s="371">
        <v>1.8325999999999998</v>
      </c>
      <c r="P15" s="126">
        <v>10.9</v>
      </c>
      <c r="Q15" s="123" t="s">
        <v>113</v>
      </c>
      <c r="R15" s="128">
        <v>11.8</v>
      </c>
      <c r="S15" s="125">
        <v>18</v>
      </c>
      <c r="T15" s="371">
        <v>1.8325999999999998</v>
      </c>
      <c r="U15" s="126">
        <v>10.9</v>
      </c>
      <c r="V15" s="123" t="s">
        <v>113</v>
      </c>
      <c r="W15" s="128">
        <v>11.8</v>
      </c>
      <c r="X15" s="125">
        <v>18</v>
      </c>
      <c r="Y15" s="371">
        <v>1.8325999999999998</v>
      </c>
      <c r="Z15" s="126">
        <v>10.9</v>
      </c>
      <c r="AA15" s="123" t="s">
        <v>113</v>
      </c>
      <c r="AB15" s="128">
        <v>11.8</v>
      </c>
      <c r="AC15" s="125">
        <v>18</v>
      </c>
      <c r="AD15" s="371">
        <v>1.8325999999999998</v>
      </c>
      <c r="AE15" s="122">
        <v>10.9</v>
      </c>
      <c r="AF15" s="123" t="s">
        <v>113</v>
      </c>
      <c r="AG15" s="128">
        <v>11.8</v>
      </c>
      <c r="AH15" s="125">
        <v>18</v>
      </c>
      <c r="AI15" s="371">
        <v>1.8325999999999998</v>
      </c>
      <c r="AJ15" s="126">
        <v>10.9</v>
      </c>
      <c r="AK15" s="123" t="s">
        <v>113</v>
      </c>
      <c r="AL15" s="128">
        <v>11.8</v>
      </c>
      <c r="AM15" s="125">
        <v>18</v>
      </c>
      <c r="AN15" s="371">
        <v>1.8325999999999998</v>
      </c>
      <c r="AO15" s="126">
        <v>10.9</v>
      </c>
      <c r="AP15" s="123" t="s">
        <v>113</v>
      </c>
      <c r="AQ15" s="128">
        <v>11.8</v>
      </c>
      <c r="AR15" s="125">
        <v>18</v>
      </c>
      <c r="AS15" s="371">
        <v>1.8325999999999998</v>
      </c>
      <c r="AT15" s="59" t="s">
        <v>401</v>
      </c>
      <c r="AU15" s="233">
        <v>78</v>
      </c>
      <c r="AV15" s="128">
        <f t="shared" si="3"/>
        <v>6.5</v>
      </c>
      <c r="AW15" s="283">
        <v>1000</v>
      </c>
      <c r="AX15" s="284">
        <v>2000</v>
      </c>
      <c r="AY15" s="283">
        <f t="shared" si="4"/>
        <v>687</v>
      </c>
      <c r="AZ15" s="284">
        <f t="shared" si="5"/>
        <v>1687</v>
      </c>
      <c r="BA15" s="235">
        <v>1.41</v>
      </c>
      <c r="BB15" s="233">
        <v>35</v>
      </c>
      <c r="BC15" s="234">
        <f t="shared" si="8"/>
        <v>185.96436819691323</v>
      </c>
      <c r="BD15" s="235">
        <v>0.5</v>
      </c>
      <c r="BE15" s="235">
        <v>6</v>
      </c>
      <c r="BF15" s="236">
        <f t="shared" si="0"/>
        <v>205.86177469791139</v>
      </c>
      <c r="BG15" s="237">
        <f t="shared" si="9"/>
        <v>40.420864940369725</v>
      </c>
      <c r="BH15" s="238">
        <f t="shared" si="10"/>
        <v>11.461935081470582</v>
      </c>
      <c r="BI15" s="239">
        <f t="shared" si="6"/>
        <v>208.8882383598544</v>
      </c>
      <c r="BJ15" s="240">
        <v>1.5</v>
      </c>
      <c r="BK15" s="263">
        <f t="shared" si="7"/>
        <v>313.33235753978158</v>
      </c>
    </row>
    <row r="16" spans="1:63" x14ac:dyDescent="0.25">
      <c r="A16" s="116" t="s">
        <v>98</v>
      </c>
      <c r="B16" s="117">
        <v>107</v>
      </c>
      <c r="C16" s="118">
        <v>729</v>
      </c>
      <c r="D16" s="119">
        <v>21.4</v>
      </c>
      <c r="E16" s="120">
        <v>0.505</v>
      </c>
      <c r="F16" s="120" t="s">
        <v>512</v>
      </c>
      <c r="G16" s="120">
        <v>17.169114753928792</v>
      </c>
      <c r="H16" s="121">
        <v>30</v>
      </c>
      <c r="I16" s="343">
        <v>6.3629999999999995</v>
      </c>
      <c r="J16" s="121">
        <f t="shared" si="1"/>
        <v>73</v>
      </c>
      <c r="K16" s="122">
        <v>11.8</v>
      </c>
      <c r="L16" s="123" t="s">
        <v>109</v>
      </c>
      <c r="M16" s="128">
        <v>13.4</v>
      </c>
      <c r="N16" s="125">
        <v>18</v>
      </c>
      <c r="O16" s="371">
        <v>1.4222000000000001</v>
      </c>
      <c r="P16" s="126">
        <v>11.8</v>
      </c>
      <c r="Q16" s="123" t="s">
        <v>109</v>
      </c>
      <c r="R16" s="128">
        <v>13.4</v>
      </c>
      <c r="S16" s="125">
        <v>18</v>
      </c>
      <c r="T16" s="371">
        <v>1.4222000000000001</v>
      </c>
      <c r="U16" s="126">
        <v>11.8</v>
      </c>
      <c r="V16" s="123" t="s">
        <v>109</v>
      </c>
      <c r="W16" s="128">
        <v>13.4</v>
      </c>
      <c r="X16" s="125">
        <v>18</v>
      </c>
      <c r="Y16" s="371">
        <v>1.4222000000000001</v>
      </c>
      <c r="Z16" s="126">
        <v>11.8</v>
      </c>
      <c r="AA16" s="123" t="s">
        <v>109</v>
      </c>
      <c r="AB16" s="128">
        <v>13.4</v>
      </c>
      <c r="AC16" s="125">
        <v>18</v>
      </c>
      <c r="AD16" s="371">
        <v>1.4222000000000001</v>
      </c>
      <c r="AE16" s="122">
        <v>11.8</v>
      </c>
      <c r="AF16" s="123" t="s">
        <v>109</v>
      </c>
      <c r="AG16" s="128">
        <v>13.4</v>
      </c>
      <c r="AH16" s="125">
        <v>18</v>
      </c>
      <c r="AI16" s="371">
        <v>1.4222000000000001</v>
      </c>
      <c r="AJ16" s="126">
        <v>11.8</v>
      </c>
      <c r="AK16" s="123" t="s">
        <v>109</v>
      </c>
      <c r="AL16" s="128">
        <v>13.4</v>
      </c>
      <c r="AM16" s="125">
        <v>18</v>
      </c>
      <c r="AN16" s="371">
        <v>1.4222000000000001</v>
      </c>
      <c r="AO16" s="126">
        <v>11.8</v>
      </c>
      <c r="AP16" s="123" t="s">
        <v>109</v>
      </c>
      <c r="AQ16" s="128">
        <v>13.4</v>
      </c>
      <c r="AR16" s="125">
        <v>18</v>
      </c>
      <c r="AS16" s="371">
        <v>1.4222000000000001</v>
      </c>
      <c r="AT16" s="59" t="s">
        <v>402</v>
      </c>
      <c r="AU16" s="233">
        <v>84</v>
      </c>
      <c r="AV16" s="128">
        <f t="shared" si="3"/>
        <v>7</v>
      </c>
      <c r="AW16" s="283">
        <v>1000</v>
      </c>
      <c r="AX16" s="284">
        <v>2000</v>
      </c>
      <c r="AY16" s="283">
        <f t="shared" si="4"/>
        <v>660</v>
      </c>
      <c r="AZ16" s="284">
        <f t="shared" si="5"/>
        <v>1660</v>
      </c>
      <c r="BA16" s="235">
        <v>1.41</v>
      </c>
      <c r="BB16" s="233">
        <v>38</v>
      </c>
      <c r="BC16" s="234">
        <f t="shared" si="8"/>
        <v>201.90417118522004</v>
      </c>
      <c r="BD16" s="235">
        <v>0.5</v>
      </c>
      <c r="BE16" s="235">
        <v>6</v>
      </c>
      <c r="BF16" s="236">
        <f t="shared" si="0"/>
        <v>224.70399440034231</v>
      </c>
      <c r="BG16" s="237">
        <f t="shared" si="9"/>
        <v>44.12052612752484</v>
      </c>
      <c r="BH16" s="238">
        <f t="shared" si="10"/>
        <v>12.51102882088378</v>
      </c>
      <c r="BI16" s="239">
        <f t="shared" si="6"/>
        <v>226.9262288269876</v>
      </c>
      <c r="BJ16" s="240">
        <v>1.5</v>
      </c>
      <c r="BK16" s="263">
        <f t="shared" si="7"/>
        <v>340.38934324048137</v>
      </c>
    </row>
    <row r="17" spans="1:63" x14ac:dyDescent="0.25">
      <c r="A17" s="51" t="s">
        <v>99</v>
      </c>
      <c r="B17" s="117">
        <v>131</v>
      </c>
      <c r="C17" s="118">
        <v>904</v>
      </c>
      <c r="D17" s="119">
        <v>26.1</v>
      </c>
      <c r="E17" s="120">
        <v>0.61499999999999999</v>
      </c>
      <c r="F17" s="120" t="s">
        <v>512</v>
      </c>
      <c r="G17" s="120">
        <v>17.370893659532239</v>
      </c>
      <c r="H17" s="121">
        <v>30</v>
      </c>
      <c r="I17" s="343">
        <v>7.7489999999999997</v>
      </c>
      <c r="J17" s="121">
        <f t="shared" si="1"/>
        <v>89</v>
      </c>
      <c r="K17" s="122">
        <v>13.4</v>
      </c>
      <c r="L17" s="123" t="s">
        <v>125</v>
      </c>
      <c r="M17" s="128">
        <v>13.8</v>
      </c>
      <c r="N17" s="125">
        <v>18</v>
      </c>
      <c r="O17" s="371">
        <v>2.1734999999999998</v>
      </c>
      <c r="P17" s="126">
        <v>13.4</v>
      </c>
      <c r="Q17" s="123" t="s">
        <v>125</v>
      </c>
      <c r="R17" s="128">
        <v>13.8</v>
      </c>
      <c r="S17" s="125">
        <v>18</v>
      </c>
      <c r="T17" s="371">
        <v>2.1734999999999998</v>
      </c>
      <c r="U17" s="126">
        <v>13.4</v>
      </c>
      <c r="V17" s="123" t="s">
        <v>125</v>
      </c>
      <c r="W17" s="128">
        <v>13.8</v>
      </c>
      <c r="X17" s="125">
        <v>18</v>
      </c>
      <c r="Y17" s="371">
        <v>2.1734999999999998</v>
      </c>
      <c r="Z17" s="126">
        <v>13.4</v>
      </c>
      <c r="AA17" s="123" t="s">
        <v>125</v>
      </c>
      <c r="AB17" s="128">
        <v>13.8</v>
      </c>
      <c r="AC17" s="125">
        <v>18</v>
      </c>
      <c r="AD17" s="371">
        <v>2.1734999999999998</v>
      </c>
      <c r="AE17" s="122">
        <v>13.4</v>
      </c>
      <c r="AF17" s="123" t="s">
        <v>125</v>
      </c>
      <c r="AG17" s="128">
        <v>13.8</v>
      </c>
      <c r="AH17" s="125">
        <v>18</v>
      </c>
      <c r="AI17" s="371">
        <v>2.1734999999999998</v>
      </c>
      <c r="AJ17" s="126">
        <v>13.4</v>
      </c>
      <c r="AK17" s="123" t="s">
        <v>125</v>
      </c>
      <c r="AL17" s="128">
        <v>13.8</v>
      </c>
      <c r="AM17" s="125">
        <v>18</v>
      </c>
      <c r="AN17" s="371">
        <v>2.1734999999999998</v>
      </c>
      <c r="AO17" s="126">
        <v>13.4</v>
      </c>
      <c r="AP17" s="123" t="s">
        <v>125</v>
      </c>
      <c r="AQ17" s="128">
        <v>13.8</v>
      </c>
      <c r="AR17" s="125">
        <v>18</v>
      </c>
      <c r="AS17" s="371">
        <v>2.1734999999999998</v>
      </c>
      <c r="AT17" s="59" t="s">
        <v>403</v>
      </c>
      <c r="AU17" s="233">
        <v>90</v>
      </c>
      <c r="AV17" s="128">
        <f t="shared" si="3"/>
        <v>7.5</v>
      </c>
      <c r="AW17" s="283">
        <v>1300</v>
      </c>
      <c r="AX17" s="284">
        <v>2000</v>
      </c>
      <c r="AY17" s="283">
        <f t="shared" si="4"/>
        <v>925</v>
      </c>
      <c r="AZ17" s="284">
        <f t="shared" si="5"/>
        <v>1625</v>
      </c>
      <c r="BA17" s="235">
        <v>1.41</v>
      </c>
      <c r="BB17" s="233">
        <v>42</v>
      </c>
      <c r="BC17" s="234">
        <f t="shared" si="8"/>
        <v>223.15724183629587</v>
      </c>
      <c r="BD17" s="235">
        <v>0.5</v>
      </c>
      <c r="BE17" s="235">
        <v>6</v>
      </c>
      <c r="BF17" s="236">
        <f t="shared" si="0"/>
        <v>243.54734947037085</v>
      </c>
      <c r="BG17" s="237">
        <f t="shared" si="9"/>
        <v>47.820410243586437</v>
      </c>
      <c r="BH17" s="238">
        <f t="shared" si="10"/>
        <v>13.560185775091062</v>
      </c>
      <c r="BI17" s="239">
        <f t="shared" si="6"/>
        <v>250.27761338647798</v>
      </c>
      <c r="BJ17" s="240">
        <v>1.5</v>
      </c>
      <c r="BK17" s="263">
        <f t="shared" si="7"/>
        <v>375.416420079717</v>
      </c>
    </row>
    <row r="18" spans="1:63" ht="15.75" thickBot="1" x14ac:dyDescent="0.3">
      <c r="A18" s="116" t="s">
        <v>100</v>
      </c>
      <c r="B18" s="117">
        <v>150</v>
      </c>
      <c r="C18" s="118">
        <v>1050</v>
      </c>
      <c r="D18" s="119">
        <v>30</v>
      </c>
      <c r="E18" s="120">
        <v>0.70499999999999996</v>
      </c>
      <c r="F18" s="120" t="s">
        <v>512</v>
      </c>
      <c r="G18" s="120">
        <v>17.490659658252088</v>
      </c>
      <c r="H18" s="121">
        <v>30</v>
      </c>
      <c r="I18" s="343">
        <v>8.8829999999999991</v>
      </c>
      <c r="J18" s="121">
        <f t="shared" si="1"/>
        <v>102</v>
      </c>
      <c r="K18" s="122">
        <v>13.8</v>
      </c>
      <c r="L18" s="123" t="s">
        <v>114</v>
      </c>
      <c r="M18" s="128">
        <v>15.2</v>
      </c>
      <c r="N18" s="125">
        <v>18</v>
      </c>
      <c r="O18" s="371">
        <v>1.7204000000000002</v>
      </c>
      <c r="P18" s="126">
        <v>13.8</v>
      </c>
      <c r="Q18" s="123" t="s">
        <v>142</v>
      </c>
      <c r="R18" s="128">
        <v>14.9</v>
      </c>
      <c r="S18" s="125">
        <v>24</v>
      </c>
      <c r="T18" s="371">
        <v>2.2920000000000003</v>
      </c>
      <c r="U18" s="126">
        <v>13.8</v>
      </c>
      <c r="V18" s="123" t="s">
        <v>142</v>
      </c>
      <c r="W18" s="128">
        <v>14.9</v>
      </c>
      <c r="X18" s="125">
        <v>24</v>
      </c>
      <c r="Y18" s="371">
        <v>2.2920000000000003</v>
      </c>
      <c r="Z18" s="126">
        <v>13.8</v>
      </c>
      <c r="AA18" s="123" t="s">
        <v>142</v>
      </c>
      <c r="AB18" s="128">
        <v>14.9</v>
      </c>
      <c r="AC18" s="125">
        <v>24</v>
      </c>
      <c r="AD18" s="371">
        <v>2.2920000000000003</v>
      </c>
      <c r="AE18" s="122">
        <v>13.8</v>
      </c>
      <c r="AF18" s="123" t="s">
        <v>142</v>
      </c>
      <c r="AG18" s="128">
        <v>14.9</v>
      </c>
      <c r="AH18" s="125">
        <v>24</v>
      </c>
      <c r="AI18" s="371">
        <v>2.2920000000000003</v>
      </c>
      <c r="AJ18" s="126">
        <v>13.8</v>
      </c>
      <c r="AK18" s="123" t="s">
        <v>142</v>
      </c>
      <c r="AL18" s="128">
        <v>14.9</v>
      </c>
      <c r="AM18" s="125">
        <v>24</v>
      </c>
      <c r="AN18" s="371">
        <v>2.2920000000000003</v>
      </c>
      <c r="AO18" s="126">
        <v>13.8</v>
      </c>
      <c r="AP18" s="123" t="s">
        <v>142</v>
      </c>
      <c r="AQ18" s="128">
        <v>14.9</v>
      </c>
      <c r="AR18" s="125">
        <v>24</v>
      </c>
      <c r="AS18" s="371">
        <v>2.2920000000000003</v>
      </c>
      <c r="AT18" s="72" t="s">
        <v>404</v>
      </c>
      <c r="AU18" s="267">
        <v>96</v>
      </c>
      <c r="AV18" s="149">
        <f t="shared" si="3"/>
        <v>8</v>
      </c>
      <c r="AW18" s="287">
        <v>1600</v>
      </c>
      <c r="AX18" s="288">
        <v>2000</v>
      </c>
      <c r="AY18" s="287">
        <f t="shared" si="4"/>
        <v>1198</v>
      </c>
      <c r="AZ18" s="288">
        <f t="shared" si="5"/>
        <v>1598</v>
      </c>
      <c r="BA18" s="73">
        <v>1.41</v>
      </c>
      <c r="BB18" s="267">
        <v>45</v>
      </c>
      <c r="BC18" s="268">
        <f t="shared" si="8"/>
        <v>239.0970448246027</v>
      </c>
      <c r="BD18" s="73">
        <v>0.5</v>
      </c>
      <c r="BE18" s="73">
        <v>6</v>
      </c>
      <c r="BF18" s="269">
        <f t="shared" si="0"/>
        <v>262.39159530269882</v>
      </c>
      <c r="BG18" s="270">
        <f t="shared" si="9"/>
        <v>51.52046926041654</v>
      </c>
      <c r="BH18" s="271">
        <f t="shared" si="10"/>
        <v>14.609392325002377</v>
      </c>
      <c r="BI18" s="272">
        <f t="shared" si="6"/>
        <v>268.31582947460748</v>
      </c>
      <c r="BJ18" s="273">
        <v>1.5</v>
      </c>
      <c r="BK18" s="274">
        <f t="shared" si="7"/>
        <v>402.47374421191125</v>
      </c>
    </row>
    <row r="19" spans="1:63" ht="15.75" thickBot="1" x14ac:dyDescent="0.3">
      <c r="A19" s="129" t="s">
        <v>101</v>
      </c>
      <c r="B19" s="130">
        <v>172</v>
      </c>
      <c r="C19" s="131">
        <v>1220</v>
      </c>
      <c r="D19" s="132">
        <v>34.4</v>
      </c>
      <c r="E19" s="133">
        <v>0.80500000000000005</v>
      </c>
      <c r="F19" s="133" t="s">
        <v>512</v>
      </c>
      <c r="G19" s="133">
        <v>17.668040058467355</v>
      </c>
      <c r="H19" s="134">
        <v>30</v>
      </c>
      <c r="I19" s="344">
        <v>10.143000000000002</v>
      </c>
      <c r="J19" s="134">
        <f t="shared" si="1"/>
        <v>117</v>
      </c>
      <c r="K19" s="122">
        <v>15.2</v>
      </c>
      <c r="L19" s="123" t="s">
        <v>126</v>
      </c>
      <c r="M19" s="128">
        <v>16.2</v>
      </c>
      <c r="N19" s="125">
        <v>18</v>
      </c>
      <c r="O19" s="371">
        <v>2.2679999999999998</v>
      </c>
      <c r="P19" s="126">
        <v>14.9</v>
      </c>
      <c r="Q19" s="123" t="s">
        <v>114</v>
      </c>
      <c r="R19" s="128">
        <v>15.2</v>
      </c>
      <c r="S19" s="125">
        <v>18</v>
      </c>
      <c r="T19" s="371">
        <v>1.7204000000000002</v>
      </c>
      <c r="U19" s="126">
        <v>14.9</v>
      </c>
      <c r="V19" s="123" t="s">
        <v>114</v>
      </c>
      <c r="W19" s="128">
        <v>15.2</v>
      </c>
      <c r="X19" s="125">
        <v>18</v>
      </c>
      <c r="Y19" s="371">
        <v>1.7204000000000002</v>
      </c>
      <c r="Z19" s="126">
        <v>14.9</v>
      </c>
      <c r="AA19" s="123" t="s">
        <v>114</v>
      </c>
      <c r="AB19" s="128">
        <v>15.2</v>
      </c>
      <c r="AC19" s="125">
        <v>18</v>
      </c>
      <c r="AD19" s="371">
        <v>1.7204000000000002</v>
      </c>
      <c r="AE19" s="122">
        <v>14.9</v>
      </c>
      <c r="AF19" s="123" t="s">
        <v>114</v>
      </c>
      <c r="AG19" s="128">
        <v>15.2</v>
      </c>
      <c r="AH19" s="125">
        <v>18</v>
      </c>
      <c r="AI19" s="371">
        <v>1.7204000000000002</v>
      </c>
      <c r="AJ19" s="126">
        <v>14.9</v>
      </c>
      <c r="AK19" s="123" t="s">
        <v>114</v>
      </c>
      <c r="AL19" s="128">
        <v>15.2</v>
      </c>
      <c r="AM19" s="125">
        <v>18</v>
      </c>
      <c r="AN19" s="371">
        <v>1.7204000000000002</v>
      </c>
      <c r="AO19" s="126">
        <v>14.9</v>
      </c>
      <c r="AP19" s="123" t="s">
        <v>114</v>
      </c>
      <c r="AQ19" s="128">
        <v>15.2</v>
      </c>
      <c r="AR19" s="125">
        <v>18</v>
      </c>
      <c r="AS19" s="371">
        <v>1.7204000000000002</v>
      </c>
    </row>
    <row r="20" spans="1:63" ht="15.75" thickBot="1" x14ac:dyDescent="0.3">
      <c r="A20" s="80" t="s">
        <v>353</v>
      </c>
      <c r="B20" s="354" t="s">
        <v>76</v>
      </c>
      <c r="C20" s="354" t="s">
        <v>76</v>
      </c>
      <c r="D20" s="355" t="s">
        <v>76</v>
      </c>
      <c r="E20" s="356" t="s">
        <v>76</v>
      </c>
      <c r="F20" s="356"/>
      <c r="G20" s="354" t="s">
        <v>76</v>
      </c>
      <c r="H20" s="357" t="s">
        <v>76</v>
      </c>
      <c r="I20" s="358" t="s">
        <v>76</v>
      </c>
      <c r="J20" s="357" t="s">
        <v>76</v>
      </c>
      <c r="K20" s="122">
        <v>16.2</v>
      </c>
      <c r="L20" s="123" t="s">
        <v>110</v>
      </c>
      <c r="M20" s="128">
        <v>16.7</v>
      </c>
      <c r="N20" s="125">
        <v>18</v>
      </c>
      <c r="O20" s="371">
        <v>1.7504</v>
      </c>
      <c r="P20" s="126">
        <v>15.2</v>
      </c>
      <c r="Q20" s="123" t="s">
        <v>126</v>
      </c>
      <c r="R20" s="128">
        <v>16.2</v>
      </c>
      <c r="S20" s="125">
        <v>18</v>
      </c>
      <c r="T20" s="371">
        <v>2.2679999999999998</v>
      </c>
      <c r="U20" s="126">
        <v>15.2</v>
      </c>
      <c r="V20" s="123" t="s">
        <v>126</v>
      </c>
      <c r="W20" s="128">
        <v>16.2</v>
      </c>
      <c r="X20" s="125">
        <v>18</v>
      </c>
      <c r="Y20" s="371">
        <v>2.2679999999999998</v>
      </c>
      <c r="Z20" s="126">
        <v>15.2</v>
      </c>
      <c r="AA20" s="123" t="s">
        <v>126</v>
      </c>
      <c r="AB20" s="128">
        <v>16.2</v>
      </c>
      <c r="AC20" s="125">
        <v>18</v>
      </c>
      <c r="AD20" s="371">
        <v>2.2679999999999998</v>
      </c>
      <c r="AE20" s="122">
        <v>15.2</v>
      </c>
      <c r="AF20" s="123" t="s">
        <v>126</v>
      </c>
      <c r="AG20" s="128">
        <v>16.2</v>
      </c>
      <c r="AH20" s="125">
        <v>18</v>
      </c>
      <c r="AI20" s="371">
        <v>2.2679999999999998</v>
      </c>
      <c r="AJ20" s="126">
        <v>15.2</v>
      </c>
      <c r="AK20" s="123" t="s">
        <v>126</v>
      </c>
      <c r="AL20" s="128">
        <v>16.2</v>
      </c>
      <c r="AM20" s="125">
        <v>18</v>
      </c>
      <c r="AN20" s="371">
        <v>2.2679999999999998</v>
      </c>
      <c r="AO20" s="126">
        <v>15.2</v>
      </c>
      <c r="AP20" s="123" t="s">
        <v>126</v>
      </c>
      <c r="AQ20" s="128">
        <v>16.2</v>
      </c>
      <c r="AR20" s="125">
        <v>18</v>
      </c>
      <c r="AS20" s="371">
        <v>2.2679999999999998</v>
      </c>
      <c r="AW20" s="321" t="s">
        <v>419</v>
      </c>
      <c r="AX20" s="321" t="s">
        <v>420</v>
      </c>
      <c r="AY20" s="321" t="s">
        <v>426</v>
      </c>
      <c r="BA20" s="562" t="s">
        <v>479</v>
      </c>
      <c r="BB20" s="563"/>
    </row>
    <row r="21" spans="1:63" ht="15.75" thickBot="1" x14ac:dyDescent="0.3">
      <c r="A21" s="135" t="s">
        <v>102</v>
      </c>
      <c r="B21" s="136">
        <v>5.46</v>
      </c>
      <c r="C21" s="137">
        <v>11.3</v>
      </c>
      <c r="D21" s="138">
        <v>3.83</v>
      </c>
      <c r="E21" s="139">
        <v>0.34499999999999997</v>
      </c>
      <c r="F21" s="139" t="s">
        <v>514</v>
      </c>
      <c r="G21" s="139">
        <v>4.9849922555546442</v>
      </c>
      <c r="H21" s="140">
        <v>12</v>
      </c>
      <c r="I21" s="345">
        <v>0.97160000000000013</v>
      </c>
      <c r="J21" s="140">
        <f t="shared" si="1"/>
        <v>13</v>
      </c>
      <c r="K21" s="122">
        <v>16.7</v>
      </c>
      <c r="L21" s="123" t="s">
        <v>115</v>
      </c>
      <c r="M21" s="128">
        <v>18.2</v>
      </c>
      <c r="N21" s="125">
        <v>18</v>
      </c>
      <c r="O21" s="371">
        <v>1.8699999999999999</v>
      </c>
      <c r="P21" s="126">
        <v>16.2</v>
      </c>
      <c r="Q21" s="123" t="s">
        <v>110</v>
      </c>
      <c r="R21" s="128">
        <v>16.7</v>
      </c>
      <c r="S21" s="125">
        <v>18</v>
      </c>
      <c r="T21" s="371">
        <v>1.7504</v>
      </c>
      <c r="U21" s="126">
        <v>16.2</v>
      </c>
      <c r="V21" s="123" t="s">
        <v>110</v>
      </c>
      <c r="W21" s="128">
        <v>16.7</v>
      </c>
      <c r="X21" s="125">
        <v>18</v>
      </c>
      <c r="Y21" s="371">
        <v>1.7504</v>
      </c>
      <c r="Z21" s="126">
        <v>16.2</v>
      </c>
      <c r="AA21" s="123" t="s">
        <v>110</v>
      </c>
      <c r="AB21" s="128">
        <v>16.7</v>
      </c>
      <c r="AC21" s="125">
        <v>18</v>
      </c>
      <c r="AD21" s="371">
        <v>1.7504</v>
      </c>
      <c r="AE21" s="122">
        <v>16.2</v>
      </c>
      <c r="AF21" s="123" t="s">
        <v>110</v>
      </c>
      <c r="AG21" s="128">
        <v>16.7</v>
      </c>
      <c r="AH21" s="125">
        <v>18</v>
      </c>
      <c r="AI21" s="371">
        <v>1.7504</v>
      </c>
      <c r="AJ21" s="126">
        <v>16.2</v>
      </c>
      <c r="AK21" s="123" t="s">
        <v>110</v>
      </c>
      <c r="AL21" s="128">
        <v>16.7</v>
      </c>
      <c r="AM21" s="125">
        <v>18</v>
      </c>
      <c r="AN21" s="371">
        <v>1.7504</v>
      </c>
      <c r="AO21" s="126">
        <v>16.2</v>
      </c>
      <c r="AP21" s="123" t="s">
        <v>110</v>
      </c>
      <c r="AQ21" s="128">
        <v>16.7</v>
      </c>
      <c r="AR21" s="125">
        <v>18</v>
      </c>
      <c r="AS21" s="371">
        <v>1.7504</v>
      </c>
      <c r="AW21" s="322" t="s">
        <v>418</v>
      </c>
      <c r="AX21" s="322" t="s">
        <v>418</v>
      </c>
      <c r="AY21" s="322" t="s">
        <v>427</v>
      </c>
      <c r="BA21" s="560" t="s">
        <v>451</v>
      </c>
      <c r="BB21" s="559"/>
    </row>
    <row r="22" spans="1:63" x14ac:dyDescent="0.25">
      <c r="A22" s="104" t="s">
        <v>103</v>
      </c>
      <c r="B22" s="141">
        <v>8.51</v>
      </c>
      <c r="C22" s="106">
        <v>21.3</v>
      </c>
      <c r="D22" s="142">
        <v>4.68</v>
      </c>
      <c r="E22" s="108">
        <v>0.36</v>
      </c>
      <c r="F22" s="108" t="s">
        <v>514</v>
      </c>
      <c r="G22" s="108">
        <v>6.0068579879706023</v>
      </c>
      <c r="H22" s="109">
        <v>18</v>
      </c>
      <c r="I22" s="342">
        <v>1.0296000000000001</v>
      </c>
      <c r="J22" s="109">
        <f t="shared" si="1"/>
        <v>16</v>
      </c>
      <c r="K22" s="122">
        <v>18.2</v>
      </c>
      <c r="L22" s="123" t="s">
        <v>127</v>
      </c>
      <c r="M22" s="128">
        <v>18.8</v>
      </c>
      <c r="N22" s="125">
        <v>18</v>
      </c>
      <c r="O22" s="371">
        <v>2.3624999999999998</v>
      </c>
      <c r="P22" s="126">
        <v>16.7</v>
      </c>
      <c r="Q22" s="123" t="s">
        <v>143</v>
      </c>
      <c r="R22" s="128">
        <v>17.100000000000001</v>
      </c>
      <c r="S22" s="125">
        <v>24</v>
      </c>
      <c r="T22" s="371">
        <v>2.5212000000000003</v>
      </c>
      <c r="U22" s="126">
        <v>16.7</v>
      </c>
      <c r="V22" s="123" t="s">
        <v>143</v>
      </c>
      <c r="W22" s="128">
        <v>17.100000000000001</v>
      </c>
      <c r="X22" s="125">
        <v>24</v>
      </c>
      <c r="Y22" s="371">
        <v>2.5212000000000003</v>
      </c>
      <c r="Z22" s="126">
        <v>16.7</v>
      </c>
      <c r="AA22" s="123" t="s">
        <v>143</v>
      </c>
      <c r="AB22" s="128">
        <v>17.100000000000001</v>
      </c>
      <c r="AC22" s="125">
        <v>24</v>
      </c>
      <c r="AD22" s="371">
        <v>2.5212000000000003</v>
      </c>
      <c r="AE22" s="122">
        <v>16.7</v>
      </c>
      <c r="AF22" s="123" t="s">
        <v>143</v>
      </c>
      <c r="AG22" s="128">
        <v>17.100000000000001</v>
      </c>
      <c r="AH22" s="125">
        <v>24</v>
      </c>
      <c r="AI22" s="371">
        <v>2.5212000000000003</v>
      </c>
      <c r="AJ22" s="126">
        <v>16.7</v>
      </c>
      <c r="AK22" s="123" t="s">
        <v>143</v>
      </c>
      <c r="AL22" s="128">
        <v>17.100000000000001</v>
      </c>
      <c r="AM22" s="125">
        <v>24</v>
      </c>
      <c r="AN22" s="371">
        <v>2.5212000000000003</v>
      </c>
      <c r="AO22" s="126">
        <v>16.7</v>
      </c>
      <c r="AP22" s="123" t="s">
        <v>143</v>
      </c>
      <c r="AQ22" s="128">
        <v>17.100000000000001</v>
      </c>
      <c r="AR22" s="125">
        <v>24</v>
      </c>
      <c r="AS22" s="371">
        <v>2.5212000000000003</v>
      </c>
      <c r="AW22" s="323" t="s">
        <v>423</v>
      </c>
      <c r="AX22" s="323" t="s">
        <v>423</v>
      </c>
      <c r="AY22" s="323" t="s">
        <v>428</v>
      </c>
      <c r="BA22" s="560" t="s">
        <v>475</v>
      </c>
      <c r="BB22" s="559"/>
    </row>
    <row r="23" spans="1:63" ht="15.75" thickBot="1" x14ac:dyDescent="0.3">
      <c r="A23" s="129" t="s">
        <v>104</v>
      </c>
      <c r="B23" s="143">
        <v>10.199999999999999</v>
      </c>
      <c r="C23" s="131">
        <v>26.2</v>
      </c>
      <c r="D23" s="144">
        <v>5.54</v>
      </c>
      <c r="E23" s="133">
        <v>0.43</v>
      </c>
      <c r="F23" s="133" t="s">
        <v>514</v>
      </c>
      <c r="G23" s="133">
        <v>6.1135214648702609</v>
      </c>
      <c r="H23" s="134">
        <v>18</v>
      </c>
      <c r="I23" s="344">
        <v>1.1583000000000001</v>
      </c>
      <c r="J23" s="134">
        <f t="shared" si="1"/>
        <v>19</v>
      </c>
      <c r="K23" s="122">
        <v>18.8</v>
      </c>
      <c r="L23" s="123" t="s">
        <v>116</v>
      </c>
      <c r="M23" s="128">
        <v>20.9</v>
      </c>
      <c r="N23" s="125">
        <v>18</v>
      </c>
      <c r="O23" s="371">
        <v>1.74685</v>
      </c>
      <c r="P23" s="126">
        <v>17.100000000000001</v>
      </c>
      <c r="Q23" s="123" t="s">
        <v>115</v>
      </c>
      <c r="R23" s="128">
        <v>18.2</v>
      </c>
      <c r="S23" s="125">
        <v>18</v>
      </c>
      <c r="T23" s="371">
        <v>1.8699999999999999</v>
      </c>
      <c r="U23" s="126">
        <v>17.100000000000001</v>
      </c>
      <c r="V23" s="123" t="s">
        <v>115</v>
      </c>
      <c r="W23" s="128">
        <v>18.2</v>
      </c>
      <c r="X23" s="125">
        <v>18</v>
      </c>
      <c r="Y23" s="371">
        <v>1.8699999999999999</v>
      </c>
      <c r="Z23" s="126">
        <v>17.100000000000001</v>
      </c>
      <c r="AA23" s="123" t="s">
        <v>115</v>
      </c>
      <c r="AB23" s="128">
        <v>18.2</v>
      </c>
      <c r="AC23" s="125">
        <v>18</v>
      </c>
      <c r="AD23" s="371">
        <v>1.8699999999999999</v>
      </c>
      <c r="AE23" s="122">
        <v>17.100000000000001</v>
      </c>
      <c r="AF23" s="123" t="s">
        <v>115</v>
      </c>
      <c r="AG23" s="128">
        <v>18.2</v>
      </c>
      <c r="AH23" s="125">
        <v>18</v>
      </c>
      <c r="AI23" s="371">
        <v>1.8699999999999999</v>
      </c>
      <c r="AJ23" s="126">
        <v>17.100000000000001</v>
      </c>
      <c r="AK23" s="123" t="s">
        <v>115</v>
      </c>
      <c r="AL23" s="128">
        <v>18.2</v>
      </c>
      <c r="AM23" s="125">
        <v>18</v>
      </c>
      <c r="AN23" s="371">
        <v>1.8699999999999999</v>
      </c>
      <c r="AO23" s="126">
        <v>17.100000000000001</v>
      </c>
      <c r="AP23" s="123" t="s">
        <v>115</v>
      </c>
      <c r="AQ23" s="128">
        <v>18.2</v>
      </c>
      <c r="AR23" s="125">
        <v>18</v>
      </c>
      <c r="AS23" s="371">
        <v>1.8699999999999999</v>
      </c>
      <c r="AW23" s="327">
        <v>20</v>
      </c>
      <c r="AX23" s="327">
        <v>18</v>
      </c>
      <c r="AY23" s="327">
        <v>5000</v>
      </c>
      <c r="BA23" s="560" t="s">
        <v>478</v>
      </c>
      <c r="BB23" s="559"/>
    </row>
    <row r="24" spans="1:63" x14ac:dyDescent="0.25">
      <c r="A24" s="104" t="s">
        <v>105</v>
      </c>
      <c r="B24" s="141">
        <v>5.56</v>
      </c>
      <c r="C24" s="106">
        <v>16.399999999999999</v>
      </c>
      <c r="D24" s="142">
        <v>2.68</v>
      </c>
      <c r="E24" s="108">
        <v>0.215</v>
      </c>
      <c r="F24" s="108" t="s">
        <v>514</v>
      </c>
      <c r="G24" s="108">
        <v>6.0538913572994142</v>
      </c>
      <c r="H24" s="109">
        <v>18</v>
      </c>
      <c r="I24" s="342">
        <v>0.92990000000000017</v>
      </c>
      <c r="J24" s="109">
        <f t="shared" si="1"/>
        <v>9</v>
      </c>
      <c r="K24" s="122">
        <v>20.9</v>
      </c>
      <c r="L24" s="123" t="s">
        <v>128</v>
      </c>
      <c r="M24" s="128">
        <v>23.2</v>
      </c>
      <c r="N24" s="125">
        <v>18</v>
      </c>
      <c r="O24" s="371">
        <v>2.2679999999999998</v>
      </c>
      <c r="P24" s="126">
        <v>18.2</v>
      </c>
      <c r="Q24" s="123" t="s">
        <v>127</v>
      </c>
      <c r="R24" s="128">
        <v>18.8</v>
      </c>
      <c r="S24" s="125">
        <v>18</v>
      </c>
      <c r="T24" s="371">
        <v>2.3624999999999998</v>
      </c>
      <c r="U24" s="126">
        <v>18.2</v>
      </c>
      <c r="V24" s="123" t="s">
        <v>127</v>
      </c>
      <c r="W24" s="128">
        <v>18.8</v>
      </c>
      <c r="X24" s="125">
        <v>18</v>
      </c>
      <c r="Y24" s="371">
        <v>2.3624999999999998</v>
      </c>
      <c r="Z24" s="126">
        <v>18.2</v>
      </c>
      <c r="AA24" s="123" t="s">
        <v>127</v>
      </c>
      <c r="AB24" s="128">
        <v>18.8</v>
      </c>
      <c r="AC24" s="125">
        <v>18</v>
      </c>
      <c r="AD24" s="371">
        <v>2.3624999999999998</v>
      </c>
      <c r="AE24" s="122">
        <v>18.2</v>
      </c>
      <c r="AF24" s="123" t="s">
        <v>127</v>
      </c>
      <c r="AG24" s="128">
        <v>18.8</v>
      </c>
      <c r="AH24" s="125">
        <v>18</v>
      </c>
      <c r="AI24" s="371">
        <v>2.3624999999999998</v>
      </c>
      <c r="AJ24" s="126">
        <v>18.2</v>
      </c>
      <c r="AK24" s="123" t="s">
        <v>127</v>
      </c>
      <c r="AL24" s="128">
        <v>18.8</v>
      </c>
      <c r="AM24" s="125">
        <v>18</v>
      </c>
      <c r="AN24" s="371">
        <v>2.3624999999999998</v>
      </c>
      <c r="AO24" s="126">
        <v>18.2</v>
      </c>
      <c r="AP24" s="123" t="s">
        <v>127</v>
      </c>
      <c r="AQ24" s="128">
        <v>18.8</v>
      </c>
      <c r="AR24" s="125">
        <v>18</v>
      </c>
      <c r="AS24" s="371">
        <v>2.3624999999999998</v>
      </c>
      <c r="BA24" s="560" t="s">
        <v>477</v>
      </c>
      <c r="BB24" s="559"/>
    </row>
    <row r="25" spans="1:63" ht="15.75" thickBot="1" x14ac:dyDescent="0.3">
      <c r="A25" s="116" t="s">
        <v>106</v>
      </c>
      <c r="B25" s="145">
        <v>7.31</v>
      </c>
      <c r="C25" s="118">
        <v>22.1</v>
      </c>
      <c r="D25" s="146">
        <v>3.55</v>
      </c>
      <c r="E25" s="120">
        <v>0.28000000000000003</v>
      </c>
      <c r="F25" s="120" t="s">
        <v>514</v>
      </c>
      <c r="G25" s="120">
        <v>6.1741687036448187</v>
      </c>
      <c r="H25" s="121">
        <v>18</v>
      </c>
      <c r="I25" s="343">
        <v>1.2581000000000002</v>
      </c>
      <c r="J25" s="121">
        <f t="shared" si="1"/>
        <v>12</v>
      </c>
      <c r="K25" s="122">
        <v>23.2</v>
      </c>
      <c r="L25" s="123" t="s">
        <v>117</v>
      </c>
      <c r="M25" s="128">
        <v>24.3</v>
      </c>
      <c r="N25" s="125">
        <v>18</v>
      </c>
      <c r="O25" s="371">
        <v>2.0320499999999999</v>
      </c>
      <c r="P25" s="126">
        <v>18.8</v>
      </c>
      <c r="Q25" s="123" t="s">
        <v>116</v>
      </c>
      <c r="R25" s="128">
        <v>20.9</v>
      </c>
      <c r="S25" s="125">
        <v>18</v>
      </c>
      <c r="T25" s="371">
        <v>1.74685</v>
      </c>
      <c r="U25" s="126">
        <v>18.8</v>
      </c>
      <c r="V25" s="123" t="s">
        <v>116</v>
      </c>
      <c r="W25" s="128">
        <v>20.9</v>
      </c>
      <c r="X25" s="125">
        <v>18</v>
      </c>
      <c r="Y25" s="371">
        <v>1.74685</v>
      </c>
      <c r="Z25" s="126">
        <v>18.8</v>
      </c>
      <c r="AA25" s="123" t="s">
        <v>116</v>
      </c>
      <c r="AB25" s="128">
        <v>20.9</v>
      </c>
      <c r="AC25" s="125">
        <v>18</v>
      </c>
      <c r="AD25" s="371">
        <v>1.74685</v>
      </c>
      <c r="AE25" s="122">
        <v>18.8</v>
      </c>
      <c r="AF25" s="123" t="s">
        <v>116</v>
      </c>
      <c r="AG25" s="128">
        <v>20.9</v>
      </c>
      <c r="AH25" s="125">
        <v>18</v>
      </c>
      <c r="AI25" s="371">
        <v>1.74685</v>
      </c>
      <c r="AJ25" s="126">
        <v>18.8</v>
      </c>
      <c r="AK25" s="123" t="s">
        <v>116</v>
      </c>
      <c r="AL25" s="128">
        <v>20.9</v>
      </c>
      <c r="AM25" s="125">
        <v>18</v>
      </c>
      <c r="AN25" s="371">
        <v>1.74685</v>
      </c>
      <c r="AO25" s="126">
        <v>18.8</v>
      </c>
      <c r="AP25" s="123" t="s">
        <v>116</v>
      </c>
      <c r="AQ25" s="128">
        <v>20.9</v>
      </c>
      <c r="AR25" s="125">
        <v>18</v>
      </c>
      <c r="AS25" s="371">
        <v>1.74685</v>
      </c>
      <c r="BA25" s="561" t="s">
        <v>476</v>
      </c>
      <c r="BB25" s="71"/>
    </row>
    <row r="26" spans="1:63" x14ac:dyDescent="0.25">
      <c r="A26" s="116" t="s">
        <v>107</v>
      </c>
      <c r="B26" s="147">
        <v>10.199999999999999</v>
      </c>
      <c r="C26" s="118">
        <v>32.1</v>
      </c>
      <c r="D26" s="146">
        <v>4.74</v>
      </c>
      <c r="E26" s="120">
        <v>0.40500000000000003</v>
      </c>
      <c r="F26" s="120" t="s">
        <v>514</v>
      </c>
      <c r="G26" s="120">
        <v>6.2467310085607322</v>
      </c>
      <c r="H26" s="121">
        <v>18</v>
      </c>
      <c r="I26" s="343">
        <v>1.4222000000000001</v>
      </c>
      <c r="J26" s="121">
        <f t="shared" si="1"/>
        <v>15</v>
      </c>
      <c r="K26" s="122">
        <v>24.3</v>
      </c>
      <c r="L26" s="123" t="s">
        <v>118</v>
      </c>
      <c r="M26" s="128">
        <v>27.5</v>
      </c>
      <c r="N26" s="125">
        <v>18</v>
      </c>
      <c r="O26" s="371">
        <v>2.0320499999999999</v>
      </c>
      <c r="P26" s="126">
        <v>20.9</v>
      </c>
      <c r="Q26" s="123" t="s">
        <v>144</v>
      </c>
      <c r="R26" s="128">
        <v>21.3</v>
      </c>
      <c r="S26" s="125">
        <v>24</v>
      </c>
      <c r="T26" s="371">
        <v>2.6930999999999998</v>
      </c>
      <c r="U26" s="126">
        <v>20.9</v>
      </c>
      <c r="V26" s="123" t="s">
        <v>144</v>
      </c>
      <c r="W26" s="128">
        <v>21.3</v>
      </c>
      <c r="X26" s="125">
        <v>24</v>
      </c>
      <c r="Y26" s="371">
        <v>2.6930999999999998</v>
      </c>
      <c r="Z26" s="126">
        <v>20.9</v>
      </c>
      <c r="AA26" s="123" t="s">
        <v>144</v>
      </c>
      <c r="AB26" s="128">
        <v>21.3</v>
      </c>
      <c r="AC26" s="125">
        <v>24</v>
      </c>
      <c r="AD26" s="371">
        <v>2.6930999999999998</v>
      </c>
      <c r="AE26" s="122">
        <v>20.9</v>
      </c>
      <c r="AF26" s="123" t="s">
        <v>144</v>
      </c>
      <c r="AG26" s="128">
        <v>21.3</v>
      </c>
      <c r="AH26" s="125">
        <v>24</v>
      </c>
      <c r="AI26" s="371">
        <v>2.6930999999999998</v>
      </c>
      <c r="AJ26" s="126">
        <v>20.9</v>
      </c>
      <c r="AK26" s="123" t="s">
        <v>144</v>
      </c>
      <c r="AL26" s="128">
        <v>21.3</v>
      </c>
      <c r="AM26" s="125">
        <v>24</v>
      </c>
      <c r="AN26" s="371">
        <v>2.6930999999999998</v>
      </c>
      <c r="AO26" s="126">
        <v>20.9</v>
      </c>
      <c r="AP26" s="123" t="s">
        <v>144</v>
      </c>
      <c r="AQ26" s="128">
        <v>21.3</v>
      </c>
      <c r="AR26" s="125">
        <v>24</v>
      </c>
      <c r="AS26" s="371">
        <v>2.6930999999999998</v>
      </c>
    </row>
    <row r="27" spans="1:63" x14ac:dyDescent="0.25">
      <c r="A27" s="116" t="s">
        <v>108</v>
      </c>
      <c r="B27" s="147">
        <v>9.7200000000000006</v>
      </c>
      <c r="C27" s="118">
        <v>29.1</v>
      </c>
      <c r="D27" s="119">
        <v>4.43</v>
      </c>
      <c r="E27" s="120">
        <v>0.26</v>
      </c>
      <c r="F27" s="120" t="s">
        <v>514</v>
      </c>
      <c r="G27" s="120">
        <v>7.280982422893489</v>
      </c>
      <c r="H27" s="121">
        <v>18</v>
      </c>
      <c r="I27" s="343">
        <v>1.2581000000000002</v>
      </c>
      <c r="J27" s="121">
        <f t="shared" si="1"/>
        <v>16</v>
      </c>
      <c r="K27" s="122">
        <v>27.5</v>
      </c>
      <c r="L27" s="123" t="s">
        <v>129</v>
      </c>
      <c r="M27" s="128">
        <v>27.9</v>
      </c>
      <c r="N27" s="125">
        <v>18</v>
      </c>
      <c r="O27" s="371">
        <v>2.4569999999999999</v>
      </c>
      <c r="P27" s="126">
        <v>21.3</v>
      </c>
      <c r="Q27" s="123" t="s">
        <v>128</v>
      </c>
      <c r="R27" s="128">
        <v>23.2</v>
      </c>
      <c r="S27" s="125">
        <v>18</v>
      </c>
      <c r="T27" s="371">
        <v>2.2679999999999998</v>
      </c>
      <c r="U27" s="126">
        <v>21.3</v>
      </c>
      <c r="V27" s="123" t="s">
        <v>128</v>
      </c>
      <c r="W27" s="128">
        <v>23.2</v>
      </c>
      <c r="X27" s="125">
        <v>18</v>
      </c>
      <c r="Y27" s="371">
        <v>2.2679999999999998</v>
      </c>
      <c r="Z27" s="126">
        <v>21.3</v>
      </c>
      <c r="AA27" s="123" t="s">
        <v>128</v>
      </c>
      <c r="AB27" s="128">
        <v>23.2</v>
      </c>
      <c r="AC27" s="125">
        <v>18</v>
      </c>
      <c r="AD27" s="371">
        <v>2.2679999999999998</v>
      </c>
      <c r="AE27" s="122">
        <v>21.3</v>
      </c>
      <c r="AF27" s="123" t="s">
        <v>128</v>
      </c>
      <c r="AG27" s="128">
        <v>23.2</v>
      </c>
      <c r="AH27" s="125">
        <v>18</v>
      </c>
      <c r="AI27" s="371">
        <v>2.2679999999999998</v>
      </c>
      <c r="AJ27" s="126">
        <v>21.3</v>
      </c>
      <c r="AK27" s="123" t="s">
        <v>128</v>
      </c>
      <c r="AL27" s="128">
        <v>23.2</v>
      </c>
      <c r="AM27" s="125">
        <v>18</v>
      </c>
      <c r="AN27" s="371">
        <v>2.2679999999999998</v>
      </c>
      <c r="AO27" s="126">
        <v>21.3</v>
      </c>
      <c r="AP27" s="123" t="s">
        <v>128</v>
      </c>
      <c r="AQ27" s="128">
        <v>23.2</v>
      </c>
      <c r="AR27" s="125">
        <v>18</v>
      </c>
      <c r="AS27" s="371">
        <v>2.2679999999999998</v>
      </c>
    </row>
    <row r="28" spans="1:63" x14ac:dyDescent="0.25">
      <c r="A28" s="116" t="s">
        <v>109</v>
      </c>
      <c r="B28" s="147">
        <v>13.4</v>
      </c>
      <c r="C28" s="118">
        <v>41.4</v>
      </c>
      <c r="D28" s="119">
        <v>5.87</v>
      </c>
      <c r="E28" s="120">
        <v>0.36499999999999999</v>
      </c>
      <c r="F28" s="120" t="s">
        <v>514</v>
      </c>
      <c r="G28" s="120">
        <v>7.3683017445698606</v>
      </c>
      <c r="H28" s="121">
        <v>18</v>
      </c>
      <c r="I28" s="343">
        <v>1.4222000000000001</v>
      </c>
      <c r="J28" s="121">
        <f t="shared" si="1"/>
        <v>20</v>
      </c>
      <c r="K28" s="122">
        <v>27.9</v>
      </c>
      <c r="L28" s="123" t="s">
        <v>87</v>
      </c>
      <c r="M28" s="27">
        <v>29.8</v>
      </c>
      <c r="N28" s="125">
        <v>18</v>
      </c>
      <c r="O28" s="371">
        <v>3.1728499999999999</v>
      </c>
      <c r="P28" s="126">
        <v>23.2</v>
      </c>
      <c r="Q28" s="123" t="s">
        <v>117</v>
      </c>
      <c r="R28" s="128">
        <v>24.3</v>
      </c>
      <c r="S28" s="125">
        <v>18</v>
      </c>
      <c r="T28" s="371">
        <v>2.0320499999999999</v>
      </c>
      <c r="U28" s="126">
        <v>23.2</v>
      </c>
      <c r="V28" s="123" t="s">
        <v>117</v>
      </c>
      <c r="W28" s="128">
        <v>24.3</v>
      </c>
      <c r="X28" s="125">
        <v>18</v>
      </c>
      <c r="Y28" s="371">
        <v>2.0320499999999999</v>
      </c>
      <c r="Z28" s="126">
        <v>23.2</v>
      </c>
      <c r="AA28" s="123" t="s">
        <v>117</v>
      </c>
      <c r="AB28" s="128">
        <v>24.3</v>
      </c>
      <c r="AC28" s="125">
        <v>18</v>
      </c>
      <c r="AD28" s="371">
        <v>2.0320499999999999</v>
      </c>
      <c r="AE28" s="122">
        <v>23.2</v>
      </c>
      <c r="AF28" s="123" t="s">
        <v>117</v>
      </c>
      <c r="AG28" s="128">
        <v>24.3</v>
      </c>
      <c r="AH28" s="125">
        <v>18</v>
      </c>
      <c r="AI28" s="371">
        <v>2.0320499999999999</v>
      </c>
      <c r="AJ28" s="126">
        <v>23.2</v>
      </c>
      <c r="AK28" s="123" t="s">
        <v>117</v>
      </c>
      <c r="AL28" s="128">
        <v>24.3</v>
      </c>
      <c r="AM28" s="125">
        <v>18</v>
      </c>
      <c r="AN28" s="371">
        <v>2.0320499999999999</v>
      </c>
      <c r="AO28" s="126">
        <v>23.2</v>
      </c>
      <c r="AP28" s="123" t="s">
        <v>117</v>
      </c>
      <c r="AQ28" s="128">
        <v>24.3</v>
      </c>
      <c r="AR28" s="125">
        <v>18</v>
      </c>
      <c r="AS28" s="371">
        <v>2.0320499999999999</v>
      </c>
    </row>
    <row r="29" spans="1:63" ht="15.75" thickBot="1" x14ac:dyDescent="0.3">
      <c r="A29" s="129" t="s">
        <v>110</v>
      </c>
      <c r="B29" s="143">
        <v>16.7</v>
      </c>
      <c r="C29" s="131">
        <v>53.4</v>
      </c>
      <c r="D29" s="132">
        <v>7.34</v>
      </c>
      <c r="E29" s="133">
        <v>0.45500000000000002</v>
      </c>
      <c r="F29" s="133" t="s">
        <v>514</v>
      </c>
      <c r="G29" s="133">
        <v>7.4938652430061028</v>
      </c>
      <c r="H29" s="134">
        <v>18</v>
      </c>
      <c r="I29" s="344">
        <v>1.7504</v>
      </c>
      <c r="J29" s="134">
        <f t="shared" si="1"/>
        <v>25</v>
      </c>
      <c r="K29" s="122">
        <v>29.8</v>
      </c>
      <c r="L29" s="123" t="s">
        <v>119</v>
      </c>
      <c r="M29" s="128">
        <v>31.2</v>
      </c>
      <c r="N29" s="125">
        <v>18</v>
      </c>
      <c r="O29" s="371">
        <v>2.2102999999999997</v>
      </c>
      <c r="P29" s="126">
        <v>24.3</v>
      </c>
      <c r="Q29" s="123" t="s">
        <v>145</v>
      </c>
      <c r="R29" s="128">
        <v>25.4</v>
      </c>
      <c r="S29" s="125">
        <v>24</v>
      </c>
      <c r="T29" s="371">
        <v>2.9796000000000005</v>
      </c>
      <c r="U29" s="126">
        <v>24.3</v>
      </c>
      <c r="V29" s="123" t="s">
        <v>145</v>
      </c>
      <c r="W29" s="128">
        <v>25.4</v>
      </c>
      <c r="X29" s="125">
        <v>24</v>
      </c>
      <c r="Y29" s="371">
        <v>2.9796000000000005</v>
      </c>
      <c r="Z29" s="126">
        <v>24.3</v>
      </c>
      <c r="AA29" s="123" t="s">
        <v>145</v>
      </c>
      <c r="AB29" s="128">
        <v>25.4</v>
      </c>
      <c r="AC29" s="125">
        <v>24</v>
      </c>
      <c r="AD29" s="371">
        <v>2.9796000000000005</v>
      </c>
      <c r="AE29" s="122">
        <v>24.3</v>
      </c>
      <c r="AF29" s="123" t="s">
        <v>145</v>
      </c>
      <c r="AG29" s="128">
        <v>25.4</v>
      </c>
      <c r="AH29" s="125">
        <v>24</v>
      </c>
      <c r="AI29" s="371">
        <v>2.9796000000000005</v>
      </c>
      <c r="AJ29" s="126">
        <v>24.3</v>
      </c>
      <c r="AK29" s="123" t="s">
        <v>145</v>
      </c>
      <c r="AL29" s="128">
        <v>25.4</v>
      </c>
      <c r="AM29" s="125">
        <v>24</v>
      </c>
      <c r="AN29" s="371">
        <v>2.9796000000000005</v>
      </c>
      <c r="AO29" s="126">
        <v>24.3</v>
      </c>
      <c r="AP29" s="123" t="s">
        <v>145</v>
      </c>
      <c r="AQ29" s="128">
        <v>25.4</v>
      </c>
      <c r="AR29" s="125">
        <v>24</v>
      </c>
      <c r="AS29" s="371">
        <v>2.9796000000000005</v>
      </c>
    </row>
    <row r="30" spans="1:63" x14ac:dyDescent="0.25">
      <c r="A30" s="104" t="s">
        <v>111</v>
      </c>
      <c r="B30" s="141">
        <v>7.81</v>
      </c>
      <c r="C30" s="106">
        <v>30.8</v>
      </c>
      <c r="D30" s="142">
        <v>2.96</v>
      </c>
      <c r="E30" s="108">
        <v>0.20499999999999999</v>
      </c>
      <c r="F30" s="108" t="s">
        <v>514</v>
      </c>
      <c r="G30" s="108">
        <v>7.2671138816285437</v>
      </c>
      <c r="H30" s="109">
        <v>18</v>
      </c>
      <c r="I30" s="342">
        <v>1.2716000000000001</v>
      </c>
      <c r="J30" s="109">
        <f t="shared" si="1"/>
        <v>10</v>
      </c>
      <c r="K30" s="122">
        <v>31.2</v>
      </c>
      <c r="L30" s="123" t="s">
        <v>130</v>
      </c>
      <c r="M30" s="128">
        <v>32.4</v>
      </c>
      <c r="N30" s="125">
        <v>18</v>
      </c>
      <c r="O30" s="371">
        <v>2.8350000000000004</v>
      </c>
      <c r="P30" s="126">
        <v>25.4</v>
      </c>
      <c r="Q30" s="123" t="s">
        <v>118</v>
      </c>
      <c r="R30" s="128">
        <v>27.5</v>
      </c>
      <c r="S30" s="125">
        <v>18</v>
      </c>
      <c r="T30" s="371">
        <v>2.0320499999999999</v>
      </c>
      <c r="U30" s="126">
        <v>25.4</v>
      </c>
      <c r="V30" s="123" t="s">
        <v>118</v>
      </c>
      <c r="W30" s="128">
        <v>27.5</v>
      </c>
      <c r="X30" s="125">
        <v>18</v>
      </c>
      <c r="Y30" s="371">
        <v>2.0320499999999999</v>
      </c>
      <c r="Z30" s="126">
        <v>25.4</v>
      </c>
      <c r="AA30" s="123" t="s">
        <v>118</v>
      </c>
      <c r="AB30" s="128">
        <v>27.5</v>
      </c>
      <c r="AC30" s="125">
        <v>18</v>
      </c>
      <c r="AD30" s="371">
        <v>2.0320499999999999</v>
      </c>
      <c r="AE30" s="122">
        <v>25.4</v>
      </c>
      <c r="AF30" s="123" t="s">
        <v>118</v>
      </c>
      <c r="AG30" s="128">
        <v>27.5</v>
      </c>
      <c r="AH30" s="125">
        <v>18</v>
      </c>
      <c r="AI30" s="371">
        <v>2.0320499999999999</v>
      </c>
      <c r="AJ30" s="126">
        <v>25.4</v>
      </c>
      <c r="AK30" s="123" t="s">
        <v>118</v>
      </c>
      <c r="AL30" s="128">
        <v>27.5</v>
      </c>
      <c r="AM30" s="125">
        <v>18</v>
      </c>
      <c r="AN30" s="371">
        <v>2.0320499999999999</v>
      </c>
      <c r="AO30" s="126">
        <v>25.4</v>
      </c>
      <c r="AP30" s="123" t="s">
        <v>118</v>
      </c>
      <c r="AQ30" s="128">
        <v>27.5</v>
      </c>
      <c r="AR30" s="125">
        <v>18</v>
      </c>
      <c r="AS30" s="371">
        <v>2.0320499999999999</v>
      </c>
    </row>
    <row r="31" spans="1:63" x14ac:dyDescent="0.25">
      <c r="A31" s="116" t="s">
        <v>112</v>
      </c>
      <c r="B31" s="145">
        <v>9.91</v>
      </c>
      <c r="C31" s="118">
        <v>39.6</v>
      </c>
      <c r="D31" s="146">
        <v>3.84</v>
      </c>
      <c r="E31" s="120">
        <v>0.255</v>
      </c>
      <c r="F31" s="120" t="s">
        <v>514</v>
      </c>
      <c r="G31" s="120">
        <v>7.4090425000030855</v>
      </c>
      <c r="H31" s="121">
        <v>18</v>
      </c>
      <c r="I31" s="343">
        <v>1.7204000000000002</v>
      </c>
      <c r="J31" s="121">
        <f t="shared" si="1"/>
        <v>13</v>
      </c>
      <c r="K31" s="122">
        <v>32.4</v>
      </c>
      <c r="L31" s="123" t="s">
        <v>120</v>
      </c>
      <c r="M31" s="128">
        <v>35.5</v>
      </c>
      <c r="N31" s="125">
        <v>18</v>
      </c>
      <c r="O31" s="371">
        <v>2.5667999999999997</v>
      </c>
      <c r="P31" s="126">
        <v>27.5</v>
      </c>
      <c r="Q31" s="123" t="s">
        <v>129</v>
      </c>
      <c r="R31" s="128">
        <v>27.9</v>
      </c>
      <c r="S31" s="125">
        <v>18</v>
      </c>
      <c r="T31" s="371">
        <v>2.4569999999999999</v>
      </c>
      <c r="U31" s="126">
        <v>27.5</v>
      </c>
      <c r="V31" s="123" t="s">
        <v>129</v>
      </c>
      <c r="W31" s="128">
        <v>27.9</v>
      </c>
      <c r="X31" s="125">
        <v>18</v>
      </c>
      <c r="Y31" s="371">
        <v>2.4569999999999999</v>
      </c>
      <c r="Z31" s="126">
        <v>27.5</v>
      </c>
      <c r="AA31" s="123" t="s">
        <v>129</v>
      </c>
      <c r="AB31" s="128">
        <v>27.9</v>
      </c>
      <c r="AC31" s="125">
        <v>18</v>
      </c>
      <c r="AD31" s="371">
        <v>2.4569999999999999</v>
      </c>
      <c r="AE31" s="122">
        <v>27.5</v>
      </c>
      <c r="AF31" s="123" t="s">
        <v>129</v>
      </c>
      <c r="AG31" s="128">
        <v>27.9</v>
      </c>
      <c r="AH31" s="125">
        <v>18</v>
      </c>
      <c r="AI31" s="371">
        <v>2.4569999999999999</v>
      </c>
      <c r="AJ31" s="126">
        <v>27.5</v>
      </c>
      <c r="AK31" s="123" t="s">
        <v>129</v>
      </c>
      <c r="AL31" s="128">
        <v>27.9</v>
      </c>
      <c r="AM31" s="125">
        <v>18</v>
      </c>
      <c r="AN31" s="371">
        <v>2.4569999999999999</v>
      </c>
      <c r="AO31" s="126">
        <v>27.5</v>
      </c>
      <c r="AP31" s="123" t="s">
        <v>129</v>
      </c>
      <c r="AQ31" s="128">
        <v>27.9</v>
      </c>
      <c r="AR31" s="125">
        <v>18</v>
      </c>
      <c r="AS31" s="371">
        <v>2.4569999999999999</v>
      </c>
    </row>
    <row r="32" spans="1:63" x14ac:dyDescent="0.25">
      <c r="A32" s="116" t="s">
        <v>113</v>
      </c>
      <c r="B32" s="147">
        <v>11.8</v>
      </c>
      <c r="C32" s="118">
        <v>48</v>
      </c>
      <c r="D32" s="146">
        <v>4.4400000000000004</v>
      </c>
      <c r="E32" s="120">
        <v>0.315</v>
      </c>
      <c r="F32" s="120" t="s">
        <v>514</v>
      </c>
      <c r="G32" s="120">
        <v>7.3667607442475722</v>
      </c>
      <c r="H32" s="121">
        <v>18</v>
      </c>
      <c r="I32" s="343">
        <v>1.8325999999999998</v>
      </c>
      <c r="J32" s="121">
        <f t="shared" si="1"/>
        <v>15</v>
      </c>
      <c r="K32" s="122">
        <v>35.5</v>
      </c>
      <c r="L32" s="123" t="s">
        <v>121</v>
      </c>
      <c r="M32" s="128">
        <v>43.3</v>
      </c>
      <c r="N32" s="125">
        <v>18</v>
      </c>
      <c r="O32" s="371">
        <v>2.8520000000000003</v>
      </c>
      <c r="P32" s="126">
        <v>27.9</v>
      </c>
      <c r="Q32" s="123" t="s">
        <v>171</v>
      </c>
      <c r="R32" s="128">
        <v>29</v>
      </c>
      <c r="S32" s="125">
        <v>24</v>
      </c>
      <c r="T32" s="371">
        <v>3.0061</v>
      </c>
      <c r="U32" s="126">
        <v>27.9</v>
      </c>
      <c r="V32" s="123" t="s">
        <v>171</v>
      </c>
      <c r="W32" s="128">
        <v>29</v>
      </c>
      <c r="X32" s="125">
        <v>24</v>
      </c>
      <c r="Y32" s="371">
        <v>3.0061</v>
      </c>
      <c r="Z32" s="126">
        <v>27.9</v>
      </c>
      <c r="AA32" s="123" t="s">
        <v>171</v>
      </c>
      <c r="AB32" s="128">
        <v>29</v>
      </c>
      <c r="AC32" s="125">
        <v>24</v>
      </c>
      <c r="AD32" s="371">
        <v>3.0061</v>
      </c>
      <c r="AE32" s="122">
        <v>27.9</v>
      </c>
      <c r="AF32" s="123" t="s">
        <v>171</v>
      </c>
      <c r="AG32" s="128">
        <v>29</v>
      </c>
      <c r="AH32" s="125">
        <v>24</v>
      </c>
      <c r="AI32" s="371">
        <v>3.0061</v>
      </c>
      <c r="AJ32" s="126">
        <v>27.9</v>
      </c>
      <c r="AK32" s="123" t="s">
        <v>171</v>
      </c>
      <c r="AL32" s="128">
        <v>29</v>
      </c>
      <c r="AM32" s="125">
        <v>24</v>
      </c>
      <c r="AN32" s="371">
        <v>3.0061</v>
      </c>
      <c r="AO32" s="126">
        <v>27.9</v>
      </c>
      <c r="AP32" s="123" t="s">
        <v>171</v>
      </c>
      <c r="AQ32" s="128">
        <v>29</v>
      </c>
      <c r="AR32" s="125">
        <v>24</v>
      </c>
      <c r="AS32" s="371">
        <v>3.0061</v>
      </c>
    </row>
    <row r="33" spans="1:45" ht="15.75" thickBot="1" x14ac:dyDescent="0.3">
      <c r="A33" s="116" t="s">
        <v>114</v>
      </c>
      <c r="B33" s="147">
        <v>15.2</v>
      </c>
      <c r="C33" s="118">
        <v>61.9</v>
      </c>
      <c r="D33" s="146">
        <v>5.26</v>
      </c>
      <c r="E33" s="120">
        <v>0.33</v>
      </c>
      <c r="F33" s="120" t="s">
        <v>514</v>
      </c>
      <c r="G33" s="120">
        <v>8.1411952041100992</v>
      </c>
      <c r="H33" s="121">
        <v>18</v>
      </c>
      <c r="I33" s="343">
        <v>1.7204000000000002</v>
      </c>
      <c r="J33" s="121">
        <f t="shared" si="1"/>
        <v>18</v>
      </c>
      <c r="K33" s="122">
        <v>43.3</v>
      </c>
      <c r="L33" s="148" t="s">
        <v>122</v>
      </c>
      <c r="M33" s="149">
        <v>52</v>
      </c>
      <c r="N33" s="150">
        <v>18</v>
      </c>
      <c r="O33" s="385">
        <v>3.6362999999999999</v>
      </c>
      <c r="P33" s="126">
        <v>29</v>
      </c>
      <c r="Q33" s="123" t="s">
        <v>87</v>
      </c>
      <c r="R33" s="27">
        <v>29.8</v>
      </c>
      <c r="S33" s="125">
        <v>18</v>
      </c>
      <c r="T33" s="371">
        <v>3.1728499999999999</v>
      </c>
      <c r="U33" s="126">
        <v>29</v>
      </c>
      <c r="V33" s="123" t="s">
        <v>87</v>
      </c>
      <c r="W33" s="27">
        <v>29.8</v>
      </c>
      <c r="X33" s="125">
        <v>18</v>
      </c>
      <c r="Y33" s="371">
        <v>3.1728499999999999</v>
      </c>
      <c r="Z33" s="126">
        <v>29</v>
      </c>
      <c r="AA33" s="123" t="s">
        <v>87</v>
      </c>
      <c r="AB33" s="27">
        <v>29.8</v>
      </c>
      <c r="AC33" s="125">
        <v>18</v>
      </c>
      <c r="AD33" s="371">
        <v>3.1728499999999999</v>
      </c>
      <c r="AE33" s="122">
        <v>29</v>
      </c>
      <c r="AF33" s="123" t="s">
        <v>87</v>
      </c>
      <c r="AG33" s="27">
        <v>29.8</v>
      </c>
      <c r="AH33" s="125">
        <v>18</v>
      </c>
      <c r="AI33" s="371">
        <v>3.1728499999999999</v>
      </c>
      <c r="AJ33" s="126">
        <v>29</v>
      </c>
      <c r="AK33" s="123" t="s">
        <v>87</v>
      </c>
      <c r="AL33" s="27">
        <v>29.8</v>
      </c>
      <c r="AM33" s="125">
        <v>18</v>
      </c>
      <c r="AN33" s="371">
        <v>3.1728499999999999</v>
      </c>
      <c r="AO33" s="126">
        <v>29</v>
      </c>
      <c r="AP33" s="123" t="s">
        <v>87</v>
      </c>
      <c r="AQ33" s="27">
        <v>29.8</v>
      </c>
      <c r="AR33" s="125">
        <v>18</v>
      </c>
      <c r="AS33" s="371">
        <v>3.1728499999999999</v>
      </c>
    </row>
    <row r="34" spans="1:45" ht="15.75" thickBot="1" x14ac:dyDescent="0.3">
      <c r="A34" s="116" t="s">
        <v>115</v>
      </c>
      <c r="B34" s="147">
        <v>18.2</v>
      </c>
      <c r="C34" s="118">
        <v>75.3</v>
      </c>
      <c r="D34" s="146">
        <v>6.16</v>
      </c>
      <c r="E34" s="120">
        <v>0.4</v>
      </c>
      <c r="F34" s="120" t="s">
        <v>514</v>
      </c>
      <c r="G34" s="120">
        <v>8.1939384179357226</v>
      </c>
      <c r="H34" s="121">
        <v>18</v>
      </c>
      <c r="I34" s="343">
        <v>1.8699999999999999</v>
      </c>
      <c r="J34" s="121">
        <f t="shared" si="1"/>
        <v>21</v>
      </c>
      <c r="K34" s="151">
        <v>52</v>
      </c>
      <c r="L34" s="152" t="s">
        <v>353</v>
      </c>
      <c r="M34" s="153"/>
      <c r="N34" s="153"/>
      <c r="O34" s="377"/>
      <c r="P34" s="154">
        <v>29.8</v>
      </c>
      <c r="Q34" s="123" t="s">
        <v>119</v>
      </c>
      <c r="R34" s="128">
        <v>31.2</v>
      </c>
      <c r="S34" s="125">
        <v>18</v>
      </c>
      <c r="T34" s="371">
        <v>2.2102999999999997</v>
      </c>
      <c r="U34" s="126">
        <v>29.8</v>
      </c>
      <c r="V34" s="123" t="s">
        <v>119</v>
      </c>
      <c r="W34" s="128">
        <v>31.2</v>
      </c>
      <c r="X34" s="125">
        <v>18</v>
      </c>
      <c r="Y34" s="371">
        <v>2.2102999999999997</v>
      </c>
      <c r="Z34" s="126">
        <v>29.8</v>
      </c>
      <c r="AA34" s="123" t="s">
        <v>119</v>
      </c>
      <c r="AB34" s="128">
        <v>31.2</v>
      </c>
      <c r="AC34" s="125">
        <v>18</v>
      </c>
      <c r="AD34" s="371">
        <v>2.2102999999999997</v>
      </c>
      <c r="AE34" s="122">
        <v>29.8</v>
      </c>
      <c r="AF34" s="123" t="s">
        <v>119</v>
      </c>
      <c r="AG34" s="128">
        <v>31.2</v>
      </c>
      <c r="AH34" s="125">
        <v>18</v>
      </c>
      <c r="AI34" s="371">
        <v>2.2102999999999997</v>
      </c>
      <c r="AJ34" s="126">
        <v>29.8</v>
      </c>
      <c r="AK34" s="123" t="s">
        <v>119</v>
      </c>
      <c r="AL34" s="128">
        <v>31.2</v>
      </c>
      <c r="AM34" s="125">
        <v>18</v>
      </c>
      <c r="AN34" s="371">
        <v>2.2102999999999997</v>
      </c>
      <c r="AO34" s="126">
        <v>29.8</v>
      </c>
      <c r="AP34" s="123" t="s">
        <v>119</v>
      </c>
      <c r="AQ34" s="128">
        <v>31.2</v>
      </c>
      <c r="AR34" s="125">
        <v>18</v>
      </c>
      <c r="AS34" s="371">
        <v>2.2102999999999997</v>
      </c>
    </row>
    <row r="35" spans="1:45" x14ac:dyDescent="0.25">
      <c r="A35" s="116" t="s">
        <v>116</v>
      </c>
      <c r="B35" s="147">
        <v>20.9</v>
      </c>
      <c r="C35" s="118">
        <v>82.8</v>
      </c>
      <c r="D35" s="146">
        <v>7.08</v>
      </c>
      <c r="E35" s="120">
        <v>0.4</v>
      </c>
      <c r="F35" s="120" t="s">
        <v>514</v>
      </c>
      <c r="G35" s="120">
        <v>8.7400906108201202</v>
      </c>
      <c r="H35" s="121">
        <v>18</v>
      </c>
      <c r="I35" s="343">
        <v>1.74685</v>
      </c>
      <c r="J35" s="121">
        <f t="shared" si="1"/>
        <v>24</v>
      </c>
      <c r="K35" s="125"/>
      <c r="L35" s="166"/>
      <c r="M35" s="166"/>
      <c r="N35" s="166"/>
      <c r="O35" s="166"/>
      <c r="P35" s="154">
        <v>31.2</v>
      </c>
      <c r="Q35" s="123" t="s">
        <v>130</v>
      </c>
      <c r="R35" s="128">
        <v>32.4</v>
      </c>
      <c r="S35" s="125">
        <v>18</v>
      </c>
      <c r="T35" s="371">
        <v>2.8350000000000004</v>
      </c>
      <c r="U35" s="126">
        <v>31.2</v>
      </c>
      <c r="V35" s="123" t="s">
        <v>130</v>
      </c>
      <c r="W35" s="128">
        <v>32.4</v>
      </c>
      <c r="X35" s="125">
        <v>18</v>
      </c>
      <c r="Y35" s="371">
        <v>2.8350000000000004</v>
      </c>
      <c r="Z35" s="126">
        <v>31.2</v>
      </c>
      <c r="AA35" s="123" t="s">
        <v>130</v>
      </c>
      <c r="AB35" s="128">
        <v>32.4</v>
      </c>
      <c r="AC35" s="125">
        <v>18</v>
      </c>
      <c r="AD35" s="371">
        <v>2.8350000000000004</v>
      </c>
      <c r="AE35" s="122">
        <v>31.2</v>
      </c>
      <c r="AF35" s="123" t="s">
        <v>130</v>
      </c>
      <c r="AG35" s="128">
        <v>32.4</v>
      </c>
      <c r="AH35" s="125">
        <v>18</v>
      </c>
      <c r="AI35" s="371">
        <v>2.8350000000000004</v>
      </c>
      <c r="AJ35" s="126">
        <v>31.2</v>
      </c>
      <c r="AK35" s="123" t="s">
        <v>130</v>
      </c>
      <c r="AL35" s="128">
        <v>32.4</v>
      </c>
      <c r="AM35" s="125">
        <v>18</v>
      </c>
      <c r="AN35" s="371">
        <v>2.8350000000000004</v>
      </c>
      <c r="AO35" s="126">
        <v>31.2</v>
      </c>
      <c r="AP35" s="123" t="s">
        <v>130</v>
      </c>
      <c r="AQ35" s="128">
        <v>32.4</v>
      </c>
      <c r="AR35" s="125">
        <v>18</v>
      </c>
      <c r="AS35" s="371">
        <v>2.8350000000000004</v>
      </c>
    </row>
    <row r="36" spans="1:45" x14ac:dyDescent="0.25">
      <c r="A36" s="116" t="s">
        <v>117</v>
      </c>
      <c r="B36" s="147">
        <v>24.3</v>
      </c>
      <c r="C36" s="118">
        <v>98</v>
      </c>
      <c r="D36" s="146">
        <v>8.25</v>
      </c>
      <c r="E36" s="120">
        <v>0.46500000000000002</v>
      </c>
      <c r="F36" s="120" t="s">
        <v>514</v>
      </c>
      <c r="G36" s="120">
        <v>8.8326775826572774</v>
      </c>
      <c r="H36" s="121">
        <v>18</v>
      </c>
      <c r="I36" s="343">
        <v>2.0320499999999999</v>
      </c>
      <c r="J36" s="121">
        <f t="shared" si="1"/>
        <v>28</v>
      </c>
      <c r="K36" s="125"/>
      <c r="L36" s="166"/>
      <c r="M36" s="166"/>
      <c r="N36" s="166"/>
      <c r="O36" s="166"/>
      <c r="P36" s="154">
        <v>32.4</v>
      </c>
      <c r="Q36" s="123" t="s">
        <v>146</v>
      </c>
      <c r="R36" s="128">
        <v>33.4</v>
      </c>
      <c r="S36" s="125">
        <v>24</v>
      </c>
      <c r="T36" s="371">
        <v>2.6358000000000001</v>
      </c>
      <c r="U36" s="126">
        <v>32.4</v>
      </c>
      <c r="V36" s="123" t="s">
        <v>146</v>
      </c>
      <c r="W36" s="128">
        <v>33.4</v>
      </c>
      <c r="X36" s="125">
        <v>24</v>
      </c>
      <c r="Y36" s="371">
        <v>2.6358000000000001</v>
      </c>
      <c r="Z36" s="126">
        <v>32.4</v>
      </c>
      <c r="AA36" s="123" t="s">
        <v>146</v>
      </c>
      <c r="AB36" s="128">
        <v>33.4</v>
      </c>
      <c r="AC36" s="125">
        <v>24</v>
      </c>
      <c r="AD36" s="371">
        <v>2.6358000000000001</v>
      </c>
      <c r="AE36" s="122">
        <v>32.4</v>
      </c>
      <c r="AF36" s="123" t="s">
        <v>146</v>
      </c>
      <c r="AG36" s="128">
        <v>33.4</v>
      </c>
      <c r="AH36" s="125">
        <v>24</v>
      </c>
      <c r="AI36" s="371">
        <v>2.6358000000000001</v>
      </c>
      <c r="AJ36" s="126">
        <v>32.4</v>
      </c>
      <c r="AK36" s="123" t="s">
        <v>146</v>
      </c>
      <c r="AL36" s="128">
        <v>33.4</v>
      </c>
      <c r="AM36" s="125">
        <v>24</v>
      </c>
      <c r="AN36" s="371">
        <v>2.6358000000000001</v>
      </c>
      <c r="AO36" s="126">
        <v>32.4</v>
      </c>
      <c r="AP36" s="123" t="s">
        <v>146</v>
      </c>
      <c r="AQ36" s="128">
        <v>33.4</v>
      </c>
      <c r="AR36" s="125">
        <v>24</v>
      </c>
      <c r="AS36" s="371">
        <v>2.6358000000000001</v>
      </c>
    </row>
    <row r="37" spans="1:45" x14ac:dyDescent="0.25">
      <c r="A37" s="116" t="s">
        <v>118</v>
      </c>
      <c r="B37" s="147">
        <v>27.5</v>
      </c>
      <c r="C37" s="118">
        <v>110</v>
      </c>
      <c r="D37" s="146">
        <v>9.1300000000000008</v>
      </c>
      <c r="E37" s="120">
        <v>0.435</v>
      </c>
      <c r="F37" s="120" t="s">
        <v>512</v>
      </c>
      <c r="G37" s="120">
        <v>9.6066915657314524</v>
      </c>
      <c r="H37" s="121">
        <v>18</v>
      </c>
      <c r="I37" s="343">
        <v>2.0320499999999999</v>
      </c>
      <c r="J37" s="121">
        <f t="shared" si="1"/>
        <v>31</v>
      </c>
      <c r="K37" s="125"/>
      <c r="L37" s="166"/>
      <c r="M37" s="166"/>
      <c r="N37" s="166"/>
      <c r="O37" s="166"/>
      <c r="P37" s="154">
        <v>33.4</v>
      </c>
      <c r="Q37" s="123" t="s">
        <v>131</v>
      </c>
      <c r="R37" s="128">
        <v>35</v>
      </c>
      <c r="S37" s="125">
        <v>24</v>
      </c>
      <c r="T37" s="371">
        <v>2.5694000000000004</v>
      </c>
      <c r="U37" s="126">
        <v>33.4</v>
      </c>
      <c r="V37" s="123" t="s">
        <v>131</v>
      </c>
      <c r="W37" s="128">
        <v>35</v>
      </c>
      <c r="X37" s="125">
        <v>24</v>
      </c>
      <c r="Y37" s="371">
        <v>2.5694000000000004</v>
      </c>
      <c r="Z37" s="126">
        <v>33.4</v>
      </c>
      <c r="AA37" s="123" t="s">
        <v>131</v>
      </c>
      <c r="AB37" s="128">
        <v>35</v>
      </c>
      <c r="AC37" s="125">
        <v>24</v>
      </c>
      <c r="AD37" s="371">
        <v>2.5694000000000004</v>
      </c>
      <c r="AE37" s="122">
        <v>33.4</v>
      </c>
      <c r="AF37" s="123" t="s">
        <v>131</v>
      </c>
      <c r="AG37" s="128">
        <v>35</v>
      </c>
      <c r="AH37" s="125">
        <v>24</v>
      </c>
      <c r="AI37" s="371">
        <v>2.5694000000000004</v>
      </c>
      <c r="AJ37" s="126">
        <v>33.4</v>
      </c>
      <c r="AK37" s="123" t="s">
        <v>131</v>
      </c>
      <c r="AL37" s="128">
        <v>35</v>
      </c>
      <c r="AM37" s="125">
        <v>24</v>
      </c>
      <c r="AN37" s="371">
        <v>2.5694000000000004</v>
      </c>
      <c r="AO37" s="126">
        <v>33.4</v>
      </c>
      <c r="AP37" s="123" t="s">
        <v>131</v>
      </c>
      <c r="AQ37" s="128">
        <v>35</v>
      </c>
      <c r="AR37" s="125">
        <v>24</v>
      </c>
      <c r="AS37" s="371">
        <v>2.5694000000000004</v>
      </c>
    </row>
    <row r="38" spans="1:45" x14ac:dyDescent="0.25">
      <c r="A38" s="116" t="s">
        <v>119</v>
      </c>
      <c r="B38" s="147">
        <v>31.2</v>
      </c>
      <c r="C38" s="118">
        <v>127</v>
      </c>
      <c r="D38" s="119">
        <v>10.3</v>
      </c>
      <c r="E38" s="120">
        <v>0.495</v>
      </c>
      <c r="F38" s="120" t="s">
        <v>512</v>
      </c>
      <c r="G38" s="120">
        <v>9.6782947561896115</v>
      </c>
      <c r="H38" s="121">
        <v>18</v>
      </c>
      <c r="I38" s="343">
        <v>2.2102999999999997</v>
      </c>
      <c r="J38" s="121">
        <f t="shared" si="1"/>
        <v>35</v>
      </c>
      <c r="K38" s="125"/>
      <c r="L38" s="166"/>
      <c r="M38" s="166"/>
      <c r="N38" s="166"/>
      <c r="O38" s="166"/>
      <c r="P38" s="154">
        <v>35</v>
      </c>
      <c r="Q38" s="123" t="s">
        <v>172</v>
      </c>
      <c r="R38" s="128">
        <v>35.299999999999997</v>
      </c>
      <c r="S38" s="125">
        <v>24</v>
      </c>
      <c r="T38" s="371">
        <v>3.3328500000000001</v>
      </c>
      <c r="U38" s="126">
        <v>35</v>
      </c>
      <c r="V38" s="123" t="s">
        <v>172</v>
      </c>
      <c r="W38" s="128">
        <v>35.299999999999997</v>
      </c>
      <c r="X38" s="125">
        <v>24</v>
      </c>
      <c r="Y38" s="371">
        <v>3.3328500000000001</v>
      </c>
      <c r="Z38" s="126">
        <v>35</v>
      </c>
      <c r="AA38" s="123" t="s">
        <v>172</v>
      </c>
      <c r="AB38" s="128">
        <v>35.299999999999997</v>
      </c>
      <c r="AC38" s="125">
        <v>24</v>
      </c>
      <c r="AD38" s="371">
        <v>3.3328500000000001</v>
      </c>
      <c r="AE38" s="122">
        <v>35</v>
      </c>
      <c r="AF38" s="123" t="s">
        <v>172</v>
      </c>
      <c r="AG38" s="128">
        <v>35.299999999999997</v>
      </c>
      <c r="AH38" s="125">
        <v>24</v>
      </c>
      <c r="AI38" s="371">
        <v>3.3328500000000001</v>
      </c>
      <c r="AJ38" s="126">
        <v>35</v>
      </c>
      <c r="AK38" s="123" t="s">
        <v>172</v>
      </c>
      <c r="AL38" s="128">
        <v>35.299999999999997</v>
      </c>
      <c r="AM38" s="125">
        <v>24</v>
      </c>
      <c r="AN38" s="371">
        <v>3.3328500000000001</v>
      </c>
      <c r="AO38" s="126">
        <v>35</v>
      </c>
      <c r="AP38" s="123" t="s">
        <v>172</v>
      </c>
      <c r="AQ38" s="128">
        <v>35.299999999999997</v>
      </c>
      <c r="AR38" s="125">
        <v>24</v>
      </c>
      <c r="AS38" s="371">
        <v>3.3328500000000001</v>
      </c>
    </row>
    <row r="39" spans="1:45" x14ac:dyDescent="0.25">
      <c r="A39" s="116" t="s">
        <v>120</v>
      </c>
      <c r="B39" s="147">
        <v>35.5</v>
      </c>
      <c r="C39" s="118">
        <v>146</v>
      </c>
      <c r="D39" s="119">
        <v>11.7</v>
      </c>
      <c r="E39" s="120">
        <v>0.56000000000000005</v>
      </c>
      <c r="F39" s="120" t="s">
        <v>512</v>
      </c>
      <c r="G39" s="120">
        <v>9.7954951767038985</v>
      </c>
      <c r="H39" s="121">
        <v>18</v>
      </c>
      <c r="I39" s="343">
        <v>2.5667999999999997</v>
      </c>
      <c r="J39" s="121">
        <f t="shared" si="1"/>
        <v>40</v>
      </c>
      <c r="K39" s="125"/>
      <c r="L39" s="166"/>
      <c r="M39" s="166"/>
      <c r="N39" s="166"/>
      <c r="O39" s="166"/>
      <c r="P39" s="154">
        <v>35.299999999999997</v>
      </c>
      <c r="Q39" s="123" t="s">
        <v>120</v>
      </c>
      <c r="R39" s="128">
        <v>35.5</v>
      </c>
      <c r="S39" s="125">
        <v>18</v>
      </c>
      <c r="T39" s="371">
        <v>2.5667999999999997</v>
      </c>
      <c r="U39" s="126">
        <v>35.299999999999997</v>
      </c>
      <c r="V39" s="123" t="s">
        <v>120</v>
      </c>
      <c r="W39" s="128">
        <v>35.5</v>
      </c>
      <c r="X39" s="125">
        <v>18</v>
      </c>
      <c r="Y39" s="371">
        <v>2.5667999999999997</v>
      </c>
      <c r="Z39" s="126">
        <v>35.299999999999997</v>
      </c>
      <c r="AA39" s="123" t="s">
        <v>120</v>
      </c>
      <c r="AB39" s="128">
        <v>35.5</v>
      </c>
      <c r="AC39" s="125">
        <v>18</v>
      </c>
      <c r="AD39" s="371">
        <v>2.5667999999999997</v>
      </c>
      <c r="AE39" s="122">
        <v>35.299999999999997</v>
      </c>
      <c r="AF39" s="123" t="s">
        <v>120</v>
      </c>
      <c r="AG39" s="128">
        <v>35.5</v>
      </c>
      <c r="AH39" s="125">
        <v>18</v>
      </c>
      <c r="AI39" s="371">
        <v>2.5667999999999997</v>
      </c>
      <c r="AJ39" s="126">
        <v>35.299999999999997</v>
      </c>
      <c r="AK39" s="123" t="s">
        <v>120</v>
      </c>
      <c r="AL39" s="128">
        <v>35.5</v>
      </c>
      <c r="AM39" s="125">
        <v>18</v>
      </c>
      <c r="AN39" s="371">
        <v>2.5667999999999997</v>
      </c>
      <c r="AO39" s="126">
        <v>35.299999999999997</v>
      </c>
      <c r="AP39" s="123" t="s">
        <v>120</v>
      </c>
      <c r="AQ39" s="128">
        <v>35.5</v>
      </c>
      <c r="AR39" s="125">
        <v>18</v>
      </c>
      <c r="AS39" s="371">
        <v>2.5667999999999997</v>
      </c>
    </row>
    <row r="40" spans="1:45" x14ac:dyDescent="0.25">
      <c r="A40" s="116" t="s">
        <v>121</v>
      </c>
      <c r="B40" s="147">
        <v>43.3</v>
      </c>
      <c r="C40" s="118">
        <v>184</v>
      </c>
      <c r="D40" s="119">
        <v>14.1</v>
      </c>
      <c r="E40" s="120">
        <v>0.68500000000000005</v>
      </c>
      <c r="F40" s="120" t="s">
        <v>512</v>
      </c>
      <c r="G40" s="120">
        <v>9.9564795504435928</v>
      </c>
      <c r="H40" s="121">
        <v>18</v>
      </c>
      <c r="I40" s="343">
        <v>2.8520000000000003</v>
      </c>
      <c r="J40" s="121">
        <f t="shared" si="1"/>
        <v>48</v>
      </c>
      <c r="K40" s="125"/>
      <c r="L40" s="166"/>
      <c r="M40" s="166"/>
      <c r="N40" s="166"/>
      <c r="O40" s="166"/>
      <c r="P40" s="154">
        <v>35.5</v>
      </c>
      <c r="Q40" s="123" t="s">
        <v>207</v>
      </c>
      <c r="R40" s="27">
        <v>38.4</v>
      </c>
      <c r="S40" s="125">
        <v>24</v>
      </c>
      <c r="T40" s="371">
        <v>3.75</v>
      </c>
      <c r="U40" s="126">
        <v>35.5</v>
      </c>
      <c r="V40" s="123" t="s">
        <v>207</v>
      </c>
      <c r="W40" s="27">
        <v>38.4</v>
      </c>
      <c r="X40" s="125">
        <v>24</v>
      </c>
      <c r="Y40" s="371">
        <v>3.75</v>
      </c>
      <c r="Z40" s="126">
        <v>35.5</v>
      </c>
      <c r="AA40" s="123" t="s">
        <v>207</v>
      </c>
      <c r="AB40" s="27">
        <v>38.4</v>
      </c>
      <c r="AC40" s="125">
        <v>24</v>
      </c>
      <c r="AD40" s="371">
        <v>3.75</v>
      </c>
      <c r="AE40" s="122">
        <v>35.5</v>
      </c>
      <c r="AF40" s="123" t="s">
        <v>207</v>
      </c>
      <c r="AG40" s="27">
        <v>38.4</v>
      </c>
      <c r="AH40" s="125">
        <v>24</v>
      </c>
      <c r="AI40" s="371">
        <v>3.75</v>
      </c>
      <c r="AJ40" s="126">
        <v>35.5</v>
      </c>
      <c r="AK40" s="123" t="s">
        <v>207</v>
      </c>
      <c r="AL40" s="27">
        <v>38.4</v>
      </c>
      <c r="AM40" s="125">
        <v>24</v>
      </c>
      <c r="AN40" s="371">
        <v>3.75</v>
      </c>
      <c r="AO40" s="126">
        <v>35.5</v>
      </c>
      <c r="AP40" s="123" t="s">
        <v>207</v>
      </c>
      <c r="AQ40" s="27">
        <v>38.4</v>
      </c>
      <c r="AR40" s="125">
        <v>24</v>
      </c>
      <c r="AS40" s="371">
        <v>3.75</v>
      </c>
    </row>
    <row r="41" spans="1:45" x14ac:dyDescent="0.25">
      <c r="A41" s="116" t="s">
        <v>122</v>
      </c>
      <c r="B41" s="147">
        <v>52</v>
      </c>
      <c r="C41" s="118">
        <v>228</v>
      </c>
      <c r="D41" s="119">
        <v>17.100000000000001</v>
      </c>
      <c r="E41" s="120">
        <v>0.81</v>
      </c>
      <c r="F41" s="120" t="s">
        <v>512</v>
      </c>
      <c r="G41" s="120">
        <v>10.198016223389693</v>
      </c>
      <c r="H41" s="121">
        <v>18</v>
      </c>
      <c r="I41" s="343">
        <v>3.6362999999999999</v>
      </c>
      <c r="J41" s="121">
        <f t="shared" si="1"/>
        <v>58</v>
      </c>
      <c r="K41" s="125"/>
      <c r="L41" s="166"/>
      <c r="M41" s="166"/>
      <c r="N41" s="166"/>
      <c r="O41" s="166"/>
      <c r="P41" s="154">
        <v>38.4</v>
      </c>
      <c r="Q41" s="123" t="s">
        <v>147</v>
      </c>
      <c r="R41" s="128">
        <v>38.6</v>
      </c>
      <c r="S41" s="125">
        <v>24</v>
      </c>
      <c r="T41" s="371">
        <v>2.9796</v>
      </c>
      <c r="U41" s="126">
        <v>38.4</v>
      </c>
      <c r="V41" s="123" t="s">
        <v>147</v>
      </c>
      <c r="W41" s="128">
        <v>38.6</v>
      </c>
      <c r="X41" s="125">
        <v>24</v>
      </c>
      <c r="Y41" s="371">
        <v>2.9796</v>
      </c>
      <c r="Z41" s="126">
        <v>38.4</v>
      </c>
      <c r="AA41" s="123" t="s">
        <v>147</v>
      </c>
      <c r="AB41" s="128">
        <v>38.6</v>
      </c>
      <c r="AC41" s="125">
        <v>24</v>
      </c>
      <c r="AD41" s="371">
        <v>2.9796</v>
      </c>
      <c r="AE41" s="122">
        <v>38.4</v>
      </c>
      <c r="AF41" s="123" t="s">
        <v>147</v>
      </c>
      <c r="AG41" s="128">
        <v>38.6</v>
      </c>
      <c r="AH41" s="125">
        <v>24</v>
      </c>
      <c r="AI41" s="371">
        <v>2.9796</v>
      </c>
      <c r="AJ41" s="126">
        <v>38.4</v>
      </c>
      <c r="AK41" s="123" t="s">
        <v>147</v>
      </c>
      <c r="AL41" s="128">
        <v>38.6</v>
      </c>
      <c r="AM41" s="125">
        <v>24</v>
      </c>
      <c r="AN41" s="371">
        <v>2.9796</v>
      </c>
      <c r="AO41" s="126">
        <v>38.4</v>
      </c>
      <c r="AP41" s="123" t="s">
        <v>147</v>
      </c>
      <c r="AQ41" s="128">
        <v>38.6</v>
      </c>
      <c r="AR41" s="125">
        <v>24</v>
      </c>
      <c r="AS41" s="371">
        <v>2.9796</v>
      </c>
    </row>
    <row r="42" spans="1:45" ht="15.75" thickBot="1" x14ac:dyDescent="0.3">
      <c r="A42" s="129" t="s">
        <v>123</v>
      </c>
      <c r="B42" s="143">
        <v>60.4</v>
      </c>
      <c r="C42" s="131">
        <v>272</v>
      </c>
      <c r="D42" s="132">
        <v>19.7</v>
      </c>
      <c r="E42" s="133">
        <v>0.93500000000000005</v>
      </c>
      <c r="F42" s="133" t="s">
        <v>512</v>
      </c>
      <c r="G42" s="133">
        <v>10.395664730506136</v>
      </c>
      <c r="H42" s="134">
        <v>24</v>
      </c>
      <c r="I42" s="344">
        <v>4.0640999999999998</v>
      </c>
      <c r="J42" s="134">
        <f t="shared" si="1"/>
        <v>67</v>
      </c>
      <c r="K42" s="125"/>
      <c r="L42" s="166"/>
      <c r="M42" s="166"/>
      <c r="N42" s="166"/>
      <c r="O42" s="166"/>
      <c r="P42" s="154">
        <v>38.6</v>
      </c>
      <c r="Q42" s="123" t="s">
        <v>173</v>
      </c>
      <c r="R42" s="128">
        <v>42</v>
      </c>
      <c r="S42" s="125">
        <v>24</v>
      </c>
      <c r="T42" s="371">
        <v>3.5289000000000001</v>
      </c>
      <c r="U42" s="126">
        <v>38.6</v>
      </c>
      <c r="V42" s="123" t="s">
        <v>173</v>
      </c>
      <c r="W42" s="128">
        <v>42</v>
      </c>
      <c r="X42" s="125">
        <v>24</v>
      </c>
      <c r="Y42" s="371">
        <v>3.5289000000000001</v>
      </c>
      <c r="Z42" s="126">
        <v>38.6</v>
      </c>
      <c r="AA42" s="123" t="s">
        <v>173</v>
      </c>
      <c r="AB42" s="128">
        <v>42</v>
      </c>
      <c r="AC42" s="125">
        <v>24</v>
      </c>
      <c r="AD42" s="371">
        <v>3.5289000000000001</v>
      </c>
      <c r="AE42" s="122">
        <v>38.6</v>
      </c>
      <c r="AF42" s="123" t="s">
        <v>173</v>
      </c>
      <c r="AG42" s="128">
        <v>42</v>
      </c>
      <c r="AH42" s="125">
        <v>24</v>
      </c>
      <c r="AI42" s="371">
        <v>3.5289000000000001</v>
      </c>
      <c r="AJ42" s="126">
        <v>38.6</v>
      </c>
      <c r="AK42" s="123" t="s">
        <v>173</v>
      </c>
      <c r="AL42" s="128">
        <v>42</v>
      </c>
      <c r="AM42" s="125">
        <v>24</v>
      </c>
      <c r="AN42" s="371">
        <v>3.5289000000000001</v>
      </c>
      <c r="AO42" s="126">
        <v>38.6</v>
      </c>
      <c r="AP42" s="123" t="s">
        <v>173</v>
      </c>
      <c r="AQ42" s="128">
        <v>42</v>
      </c>
      <c r="AR42" s="125">
        <v>24</v>
      </c>
      <c r="AS42" s="371">
        <v>3.5289000000000001</v>
      </c>
    </row>
    <row r="43" spans="1:45" x14ac:dyDescent="0.25">
      <c r="A43" s="104" t="s">
        <v>124</v>
      </c>
      <c r="B43" s="156">
        <v>10.9</v>
      </c>
      <c r="C43" s="106">
        <v>53.8</v>
      </c>
      <c r="D43" s="142">
        <v>3.54</v>
      </c>
      <c r="E43" s="108">
        <v>0.21</v>
      </c>
      <c r="F43" s="108" t="s">
        <v>514</v>
      </c>
      <c r="G43" s="108">
        <v>8.4397909703087421</v>
      </c>
      <c r="H43" s="109">
        <v>18</v>
      </c>
      <c r="I43" s="342">
        <v>1.7954999999999999</v>
      </c>
      <c r="J43" s="109">
        <f t="shared" si="1"/>
        <v>12</v>
      </c>
      <c r="K43" s="125"/>
      <c r="L43" s="166"/>
      <c r="M43" s="166"/>
      <c r="N43" s="166"/>
      <c r="O43" s="166"/>
      <c r="P43" s="154">
        <v>42</v>
      </c>
      <c r="Q43" s="123" t="s">
        <v>132</v>
      </c>
      <c r="R43" s="128">
        <v>42.1</v>
      </c>
      <c r="S43" s="125">
        <v>24</v>
      </c>
      <c r="T43" s="371">
        <v>2.7908999999999997</v>
      </c>
      <c r="U43" s="126">
        <v>42</v>
      </c>
      <c r="V43" s="123" t="s">
        <v>132</v>
      </c>
      <c r="W43" s="128">
        <v>42.1</v>
      </c>
      <c r="X43" s="125">
        <v>24</v>
      </c>
      <c r="Y43" s="371">
        <v>2.7908999999999997</v>
      </c>
      <c r="Z43" s="126">
        <v>42</v>
      </c>
      <c r="AA43" s="123" t="s">
        <v>132</v>
      </c>
      <c r="AB43" s="128">
        <v>42.1</v>
      </c>
      <c r="AC43" s="125">
        <v>24</v>
      </c>
      <c r="AD43" s="371">
        <v>2.7908999999999997</v>
      </c>
      <c r="AE43" s="122">
        <v>42</v>
      </c>
      <c r="AF43" s="123" t="s">
        <v>132</v>
      </c>
      <c r="AG43" s="128">
        <v>42.1</v>
      </c>
      <c r="AH43" s="125">
        <v>24</v>
      </c>
      <c r="AI43" s="371">
        <v>2.7908999999999997</v>
      </c>
      <c r="AJ43" s="126">
        <v>42</v>
      </c>
      <c r="AK43" s="123" t="s">
        <v>132</v>
      </c>
      <c r="AL43" s="128">
        <v>42.1</v>
      </c>
      <c r="AM43" s="125">
        <v>24</v>
      </c>
      <c r="AN43" s="371">
        <v>2.7908999999999997</v>
      </c>
      <c r="AO43" s="126">
        <v>42</v>
      </c>
      <c r="AP43" s="123" t="s">
        <v>132</v>
      </c>
      <c r="AQ43" s="128">
        <v>42.1</v>
      </c>
      <c r="AR43" s="125">
        <v>24</v>
      </c>
      <c r="AS43" s="371">
        <v>2.7908999999999997</v>
      </c>
    </row>
    <row r="44" spans="1:45" x14ac:dyDescent="0.25">
      <c r="A44" s="116" t="s">
        <v>125</v>
      </c>
      <c r="B44" s="147">
        <v>13.8</v>
      </c>
      <c r="C44" s="118">
        <v>68.900000000000006</v>
      </c>
      <c r="D44" s="146">
        <v>4.41</v>
      </c>
      <c r="E44" s="120">
        <v>0.27</v>
      </c>
      <c r="F44" s="120" t="s">
        <v>514</v>
      </c>
      <c r="G44" s="120">
        <v>8.4643890453110231</v>
      </c>
      <c r="H44" s="121">
        <v>18</v>
      </c>
      <c r="I44" s="343">
        <v>2.1734999999999998</v>
      </c>
      <c r="J44" s="121">
        <f t="shared" si="1"/>
        <v>15</v>
      </c>
      <c r="K44" s="125"/>
      <c r="L44" s="166"/>
      <c r="M44" s="166"/>
      <c r="N44" s="166"/>
      <c r="O44" s="166"/>
      <c r="P44" s="154">
        <v>42.1</v>
      </c>
      <c r="Q44" s="123" t="s">
        <v>121</v>
      </c>
      <c r="R44" s="128">
        <v>43.3</v>
      </c>
      <c r="S44" s="125">
        <v>18</v>
      </c>
      <c r="T44" s="371">
        <v>2.8520000000000003</v>
      </c>
      <c r="U44" s="126">
        <v>42.1</v>
      </c>
      <c r="V44" s="123" t="s">
        <v>121</v>
      </c>
      <c r="W44" s="128">
        <v>43.3</v>
      </c>
      <c r="X44" s="125">
        <v>18</v>
      </c>
      <c r="Y44" s="371">
        <v>2.8520000000000003</v>
      </c>
      <c r="Z44" s="126">
        <v>42.1</v>
      </c>
      <c r="AA44" s="123" t="s">
        <v>121</v>
      </c>
      <c r="AB44" s="128">
        <v>43.3</v>
      </c>
      <c r="AC44" s="125">
        <v>18</v>
      </c>
      <c r="AD44" s="371">
        <v>2.8520000000000003</v>
      </c>
      <c r="AE44" s="122">
        <v>42.1</v>
      </c>
      <c r="AF44" s="123" t="s">
        <v>121</v>
      </c>
      <c r="AG44" s="128">
        <v>43.3</v>
      </c>
      <c r="AH44" s="125">
        <v>18</v>
      </c>
      <c r="AI44" s="371">
        <v>2.8520000000000003</v>
      </c>
      <c r="AJ44" s="126">
        <v>42.1</v>
      </c>
      <c r="AK44" s="123" t="s">
        <v>121</v>
      </c>
      <c r="AL44" s="128">
        <v>43.3</v>
      </c>
      <c r="AM44" s="125">
        <v>18</v>
      </c>
      <c r="AN44" s="371">
        <v>2.8520000000000003</v>
      </c>
      <c r="AO44" s="126">
        <v>42.1</v>
      </c>
      <c r="AP44" s="123" t="s">
        <v>121</v>
      </c>
      <c r="AQ44" s="128">
        <v>43.3</v>
      </c>
      <c r="AR44" s="125">
        <v>18</v>
      </c>
      <c r="AS44" s="371">
        <v>2.8520000000000003</v>
      </c>
    </row>
    <row r="45" spans="1:45" x14ac:dyDescent="0.25">
      <c r="A45" s="116" t="s">
        <v>126</v>
      </c>
      <c r="B45" s="147">
        <v>16.2</v>
      </c>
      <c r="C45" s="118">
        <v>81.900000000000006</v>
      </c>
      <c r="D45" s="146">
        <v>4.99</v>
      </c>
      <c r="E45" s="120">
        <v>0.33</v>
      </c>
      <c r="F45" s="120" t="s">
        <v>514</v>
      </c>
      <c r="G45" s="120">
        <v>8.3894570561844795</v>
      </c>
      <c r="H45" s="121">
        <v>18</v>
      </c>
      <c r="I45" s="343">
        <v>2.2679999999999998</v>
      </c>
      <c r="J45" s="121">
        <f t="shared" si="1"/>
        <v>17</v>
      </c>
      <c r="K45" s="125"/>
      <c r="L45" s="166"/>
      <c r="M45" s="166"/>
      <c r="N45" s="166"/>
      <c r="O45" s="166"/>
      <c r="P45" s="154">
        <v>43.3</v>
      </c>
      <c r="Q45" s="123" t="s">
        <v>88</v>
      </c>
      <c r="R45" s="27">
        <v>43.4</v>
      </c>
      <c r="S45" s="125">
        <v>24</v>
      </c>
      <c r="T45" s="371">
        <v>3.6768999999999994</v>
      </c>
      <c r="U45" s="126">
        <v>43.3</v>
      </c>
      <c r="V45" s="123" t="s">
        <v>88</v>
      </c>
      <c r="W45" s="27">
        <v>43.4</v>
      </c>
      <c r="X45" s="125">
        <v>24</v>
      </c>
      <c r="Y45" s="371">
        <v>3.6768999999999994</v>
      </c>
      <c r="Z45" s="126">
        <v>43.3</v>
      </c>
      <c r="AA45" s="123" t="s">
        <v>88</v>
      </c>
      <c r="AB45" s="27">
        <v>43.4</v>
      </c>
      <c r="AC45" s="125">
        <v>24</v>
      </c>
      <c r="AD45" s="371">
        <v>3.6768999999999994</v>
      </c>
      <c r="AE45" s="122">
        <v>43.3</v>
      </c>
      <c r="AF45" s="123" t="s">
        <v>88</v>
      </c>
      <c r="AG45" s="27">
        <v>43.4</v>
      </c>
      <c r="AH45" s="125">
        <v>24</v>
      </c>
      <c r="AI45" s="371">
        <v>3.6768999999999994</v>
      </c>
      <c r="AJ45" s="126">
        <v>43.3</v>
      </c>
      <c r="AK45" s="123" t="s">
        <v>88</v>
      </c>
      <c r="AL45" s="27">
        <v>43.4</v>
      </c>
      <c r="AM45" s="125">
        <v>24</v>
      </c>
      <c r="AN45" s="371">
        <v>3.6768999999999994</v>
      </c>
      <c r="AO45" s="126">
        <v>43.3</v>
      </c>
      <c r="AP45" s="123" t="s">
        <v>88</v>
      </c>
      <c r="AQ45" s="27">
        <v>43.4</v>
      </c>
      <c r="AR45" s="125">
        <v>24</v>
      </c>
      <c r="AS45" s="371">
        <v>3.6768999999999994</v>
      </c>
    </row>
    <row r="46" spans="1:45" x14ac:dyDescent="0.25">
      <c r="A46" s="116" t="s">
        <v>127</v>
      </c>
      <c r="B46" s="147">
        <v>18.8</v>
      </c>
      <c r="C46" s="118">
        <v>96.3</v>
      </c>
      <c r="D46" s="146">
        <v>5.62</v>
      </c>
      <c r="E46" s="120">
        <v>0.39500000000000002</v>
      </c>
      <c r="F46" s="120" t="s">
        <v>514</v>
      </c>
      <c r="G46" s="120">
        <v>8.360473357057705</v>
      </c>
      <c r="H46" s="121">
        <v>18</v>
      </c>
      <c r="I46" s="343">
        <v>2.3624999999999998</v>
      </c>
      <c r="J46" s="121">
        <f t="shared" si="1"/>
        <v>19</v>
      </c>
      <c r="K46" s="125"/>
      <c r="L46" s="166"/>
      <c r="M46" s="166"/>
      <c r="N46" s="166"/>
      <c r="O46" s="166"/>
      <c r="P46" s="154">
        <v>43.4</v>
      </c>
      <c r="Q46" s="123" t="s">
        <v>148</v>
      </c>
      <c r="R46" s="128">
        <v>45.6</v>
      </c>
      <c r="S46" s="125">
        <v>24</v>
      </c>
      <c r="T46" s="371">
        <v>3.4380000000000002</v>
      </c>
      <c r="U46" s="126">
        <v>43.4</v>
      </c>
      <c r="V46" s="123" t="s">
        <v>148</v>
      </c>
      <c r="W46" s="128">
        <v>45.6</v>
      </c>
      <c r="X46" s="125">
        <v>24</v>
      </c>
      <c r="Y46" s="371">
        <v>3.4380000000000002</v>
      </c>
      <c r="Z46" s="126">
        <v>43.4</v>
      </c>
      <c r="AA46" s="123" t="s">
        <v>148</v>
      </c>
      <c r="AB46" s="128">
        <v>45.6</v>
      </c>
      <c r="AC46" s="125">
        <v>24</v>
      </c>
      <c r="AD46" s="371">
        <v>3.4380000000000002</v>
      </c>
      <c r="AE46" s="122">
        <v>43.4</v>
      </c>
      <c r="AF46" s="123" t="s">
        <v>148</v>
      </c>
      <c r="AG46" s="128">
        <v>45.6</v>
      </c>
      <c r="AH46" s="125">
        <v>24</v>
      </c>
      <c r="AI46" s="371">
        <v>3.4380000000000002</v>
      </c>
      <c r="AJ46" s="126">
        <v>43.4</v>
      </c>
      <c r="AK46" s="123" t="s">
        <v>148</v>
      </c>
      <c r="AL46" s="128">
        <v>45.6</v>
      </c>
      <c r="AM46" s="125">
        <v>24</v>
      </c>
      <c r="AN46" s="371">
        <v>3.4380000000000002</v>
      </c>
      <c r="AO46" s="126">
        <v>43.4</v>
      </c>
      <c r="AP46" s="123" t="s">
        <v>148</v>
      </c>
      <c r="AQ46" s="128">
        <v>45.6</v>
      </c>
      <c r="AR46" s="125">
        <v>24</v>
      </c>
      <c r="AS46" s="371">
        <v>3.4380000000000002</v>
      </c>
    </row>
    <row r="47" spans="1:45" x14ac:dyDescent="0.25">
      <c r="A47" s="116" t="s">
        <v>128</v>
      </c>
      <c r="B47" s="147">
        <v>23.2</v>
      </c>
      <c r="C47" s="118">
        <v>118</v>
      </c>
      <c r="D47" s="146">
        <v>6.49</v>
      </c>
      <c r="E47" s="120">
        <v>0.36</v>
      </c>
      <c r="F47" s="120" t="s">
        <v>514</v>
      </c>
      <c r="G47" s="120">
        <v>9.5863257284130565</v>
      </c>
      <c r="H47" s="121">
        <v>18</v>
      </c>
      <c r="I47" s="343">
        <v>2.2679999999999998</v>
      </c>
      <c r="J47" s="121">
        <f t="shared" si="1"/>
        <v>22</v>
      </c>
      <c r="K47" s="125"/>
      <c r="L47" s="166"/>
      <c r="M47" s="166"/>
      <c r="N47" s="166"/>
      <c r="O47" s="166"/>
      <c r="P47" s="154">
        <v>45.6</v>
      </c>
      <c r="Q47" s="123" t="s">
        <v>208</v>
      </c>
      <c r="R47" s="27">
        <v>47.2</v>
      </c>
      <c r="S47" s="125">
        <v>24</v>
      </c>
      <c r="T47" s="371">
        <v>4.125</v>
      </c>
      <c r="U47" s="126">
        <v>45.6</v>
      </c>
      <c r="V47" s="123" t="s">
        <v>208</v>
      </c>
      <c r="W47" s="27">
        <v>47.2</v>
      </c>
      <c r="X47" s="125">
        <v>24</v>
      </c>
      <c r="Y47" s="371">
        <v>4.125</v>
      </c>
      <c r="Z47" s="126">
        <v>45.6</v>
      </c>
      <c r="AA47" s="123" t="s">
        <v>208</v>
      </c>
      <c r="AB47" s="27">
        <v>47.2</v>
      </c>
      <c r="AC47" s="125">
        <v>24</v>
      </c>
      <c r="AD47" s="371">
        <v>4.125</v>
      </c>
      <c r="AE47" s="122">
        <v>45.6</v>
      </c>
      <c r="AF47" s="123" t="s">
        <v>208</v>
      </c>
      <c r="AG47" s="27">
        <v>47.2</v>
      </c>
      <c r="AH47" s="125">
        <v>24</v>
      </c>
      <c r="AI47" s="371">
        <v>4.125</v>
      </c>
      <c r="AJ47" s="126">
        <v>45.6</v>
      </c>
      <c r="AK47" s="123" t="s">
        <v>208</v>
      </c>
      <c r="AL47" s="27">
        <v>47.2</v>
      </c>
      <c r="AM47" s="125">
        <v>24</v>
      </c>
      <c r="AN47" s="371">
        <v>4.125</v>
      </c>
      <c r="AO47" s="126">
        <v>45.6</v>
      </c>
      <c r="AP47" s="123" t="s">
        <v>208</v>
      </c>
      <c r="AQ47" s="27">
        <v>47.2</v>
      </c>
      <c r="AR47" s="125">
        <v>24</v>
      </c>
      <c r="AS47" s="371">
        <v>4.125</v>
      </c>
    </row>
    <row r="48" spans="1:45" x14ac:dyDescent="0.25">
      <c r="A48" s="116" t="s">
        <v>129</v>
      </c>
      <c r="B48" s="147">
        <v>27.9</v>
      </c>
      <c r="C48" s="118">
        <v>144</v>
      </c>
      <c r="D48" s="146">
        <v>7.61</v>
      </c>
      <c r="E48" s="120">
        <v>0.44</v>
      </c>
      <c r="F48" s="120" t="s">
        <v>514</v>
      </c>
      <c r="G48" s="120">
        <v>9.6273695148074463</v>
      </c>
      <c r="H48" s="121">
        <v>18</v>
      </c>
      <c r="I48" s="343">
        <v>2.4569999999999999</v>
      </c>
      <c r="J48" s="121">
        <f t="shared" si="1"/>
        <v>26</v>
      </c>
      <c r="K48" s="125"/>
      <c r="L48" s="166"/>
      <c r="M48" s="166"/>
      <c r="N48" s="166"/>
      <c r="O48" s="166"/>
      <c r="P48" s="154">
        <v>47.2</v>
      </c>
      <c r="Q48" s="123" t="s">
        <v>174</v>
      </c>
      <c r="R48" s="128">
        <v>48.6</v>
      </c>
      <c r="S48" s="125">
        <v>24</v>
      </c>
      <c r="T48" s="371">
        <v>3.7249499999999998</v>
      </c>
      <c r="U48" s="126">
        <v>47.2</v>
      </c>
      <c r="V48" s="123" t="s">
        <v>174</v>
      </c>
      <c r="W48" s="128">
        <v>48.6</v>
      </c>
      <c r="X48" s="125">
        <v>24</v>
      </c>
      <c r="Y48" s="371">
        <v>3.7249499999999998</v>
      </c>
      <c r="Z48" s="126">
        <v>47.2</v>
      </c>
      <c r="AA48" s="123" t="s">
        <v>174</v>
      </c>
      <c r="AB48" s="128">
        <v>48.6</v>
      </c>
      <c r="AC48" s="125">
        <v>24</v>
      </c>
      <c r="AD48" s="371">
        <v>3.7249499999999998</v>
      </c>
      <c r="AE48" s="122">
        <v>47.2</v>
      </c>
      <c r="AF48" s="123" t="s">
        <v>174</v>
      </c>
      <c r="AG48" s="128">
        <v>48.6</v>
      </c>
      <c r="AH48" s="125">
        <v>24</v>
      </c>
      <c r="AI48" s="371">
        <v>3.7249499999999998</v>
      </c>
      <c r="AJ48" s="126">
        <v>47.2</v>
      </c>
      <c r="AK48" s="123" t="s">
        <v>174</v>
      </c>
      <c r="AL48" s="128">
        <v>48.6</v>
      </c>
      <c r="AM48" s="125">
        <v>24</v>
      </c>
      <c r="AN48" s="371">
        <v>3.7249499999999998</v>
      </c>
      <c r="AO48" s="126">
        <v>47.2</v>
      </c>
      <c r="AP48" s="123" t="s">
        <v>174</v>
      </c>
      <c r="AQ48" s="128">
        <v>48.6</v>
      </c>
      <c r="AR48" s="125">
        <v>24</v>
      </c>
      <c r="AS48" s="371">
        <v>3.7249499999999998</v>
      </c>
    </row>
    <row r="49" spans="1:45" x14ac:dyDescent="0.25">
      <c r="A49" s="116" t="s">
        <v>130</v>
      </c>
      <c r="B49" s="147">
        <v>32.4</v>
      </c>
      <c r="C49" s="118">
        <v>170</v>
      </c>
      <c r="D49" s="146">
        <v>8.84</v>
      </c>
      <c r="E49" s="120">
        <v>0.51</v>
      </c>
      <c r="F49" s="120" t="s">
        <v>514</v>
      </c>
      <c r="G49" s="120">
        <v>9.7349546240865958</v>
      </c>
      <c r="H49" s="121">
        <v>18</v>
      </c>
      <c r="I49" s="343">
        <v>2.8350000000000004</v>
      </c>
      <c r="J49" s="121">
        <f t="shared" si="1"/>
        <v>30</v>
      </c>
      <c r="K49" s="125"/>
      <c r="L49" s="166"/>
      <c r="M49" s="166"/>
      <c r="N49" s="166"/>
      <c r="O49" s="166"/>
      <c r="P49" s="154">
        <v>48.6</v>
      </c>
      <c r="Q49" s="123" t="s">
        <v>133</v>
      </c>
      <c r="R49" s="128">
        <v>49.1</v>
      </c>
      <c r="S49" s="125">
        <v>24</v>
      </c>
      <c r="T49" s="371">
        <v>3.1009999999999995</v>
      </c>
      <c r="U49" s="126">
        <v>48.6</v>
      </c>
      <c r="V49" s="123" t="s">
        <v>133</v>
      </c>
      <c r="W49" s="128">
        <v>49.1</v>
      </c>
      <c r="X49" s="125">
        <v>24</v>
      </c>
      <c r="Y49" s="371">
        <v>3.1009999999999995</v>
      </c>
      <c r="Z49" s="126">
        <v>48.6</v>
      </c>
      <c r="AA49" s="123" t="s">
        <v>133</v>
      </c>
      <c r="AB49" s="128">
        <v>49.1</v>
      </c>
      <c r="AC49" s="125">
        <v>24</v>
      </c>
      <c r="AD49" s="371">
        <v>3.1009999999999995</v>
      </c>
      <c r="AE49" s="122">
        <v>48.6</v>
      </c>
      <c r="AF49" s="123" t="s">
        <v>133</v>
      </c>
      <c r="AG49" s="128">
        <v>49.1</v>
      </c>
      <c r="AH49" s="125">
        <v>24</v>
      </c>
      <c r="AI49" s="371">
        <v>3.1009999999999995</v>
      </c>
      <c r="AJ49" s="126">
        <v>48.6</v>
      </c>
      <c r="AK49" s="123" t="s">
        <v>133</v>
      </c>
      <c r="AL49" s="128">
        <v>49.1</v>
      </c>
      <c r="AM49" s="125">
        <v>24</v>
      </c>
      <c r="AN49" s="371">
        <v>3.1009999999999995</v>
      </c>
      <c r="AO49" s="126">
        <v>48.6</v>
      </c>
      <c r="AP49" s="123" t="s">
        <v>133</v>
      </c>
      <c r="AQ49" s="128">
        <v>49.1</v>
      </c>
      <c r="AR49" s="125">
        <v>24</v>
      </c>
      <c r="AS49" s="371">
        <v>3.1009999999999995</v>
      </c>
    </row>
    <row r="50" spans="1:45" x14ac:dyDescent="0.25">
      <c r="A50" s="116" t="s">
        <v>131</v>
      </c>
      <c r="B50" s="147">
        <v>35</v>
      </c>
      <c r="C50" s="118">
        <v>170</v>
      </c>
      <c r="D50" s="146">
        <v>9.7100000000000009</v>
      </c>
      <c r="E50" s="120">
        <v>0.435</v>
      </c>
      <c r="F50" s="120" t="s">
        <v>512</v>
      </c>
      <c r="G50" s="120">
        <v>10.758358746475333</v>
      </c>
      <c r="H50" s="121">
        <v>24</v>
      </c>
      <c r="I50" s="343">
        <v>2.5694000000000004</v>
      </c>
      <c r="J50" s="121">
        <f t="shared" si="1"/>
        <v>33</v>
      </c>
      <c r="K50" s="125"/>
      <c r="L50" s="166"/>
      <c r="M50" s="166"/>
      <c r="N50" s="166"/>
      <c r="O50" s="166"/>
      <c r="P50" s="154">
        <v>49.1</v>
      </c>
      <c r="Q50" s="123" t="s">
        <v>149</v>
      </c>
      <c r="R50" s="128">
        <v>51.9</v>
      </c>
      <c r="S50" s="125">
        <v>24</v>
      </c>
      <c r="T50" s="371">
        <v>3.2184499999999998</v>
      </c>
      <c r="U50" s="126">
        <v>49.1</v>
      </c>
      <c r="V50" s="123" t="s">
        <v>149</v>
      </c>
      <c r="W50" s="128">
        <v>51.9</v>
      </c>
      <c r="X50" s="125">
        <v>24</v>
      </c>
      <c r="Y50" s="371">
        <v>3.2184499999999998</v>
      </c>
      <c r="Z50" s="126">
        <v>49.1</v>
      </c>
      <c r="AA50" s="123" t="s">
        <v>149</v>
      </c>
      <c r="AB50" s="128">
        <v>51.9</v>
      </c>
      <c r="AC50" s="125">
        <v>24</v>
      </c>
      <c r="AD50" s="371">
        <v>3.2184499999999998</v>
      </c>
      <c r="AE50" s="122">
        <v>49.1</v>
      </c>
      <c r="AF50" s="123" t="s">
        <v>149</v>
      </c>
      <c r="AG50" s="128">
        <v>51.9</v>
      </c>
      <c r="AH50" s="125">
        <v>24</v>
      </c>
      <c r="AI50" s="371">
        <v>3.2184499999999998</v>
      </c>
      <c r="AJ50" s="126">
        <v>49.1</v>
      </c>
      <c r="AK50" s="123" t="s">
        <v>149</v>
      </c>
      <c r="AL50" s="128">
        <v>51.9</v>
      </c>
      <c r="AM50" s="125">
        <v>24</v>
      </c>
      <c r="AN50" s="371">
        <v>3.2184499999999998</v>
      </c>
      <c r="AO50" s="126">
        <v>49.1</v>
      </c>
      <c r="AP50" s="123" t="s">
        <v>149</v>
      </c>
      <c r="AQ50" s="128">
        <v>51.9</v>
      </c>
      <c r="AR50" s="125">
        <v>24</v>
      </c>
      <c r="AS50" s="371">
        <v>3.2184499999999998</v>
      </c>
    </row>
    <row r="51" spans="1:45" x14ac:dyDescent="0.25">
      <c r="A51" s="116" t="s">
        <v>132</v>
      </c>
      <c r="B51" s="147">
        <v>42.1</v>
      </c>
      <c r="C51" s="118">
        <v>209</v>
      </c>
      <c r="D51" s="119">
        <v>11.5</v>
      </c>
      <c r="E51" s="120">
        <v>0.53</v>
      </c>
      <c r="F51" s="120" t="s">
        <v>512</v>
      </c>
      <c r="G51" s="120">
        <v>10.828647574528793</v>
      </c>
      <c r="H51" s="121">
        <v>24</v>
      </c>
      <c r="I51" s="343">
        <v>2.7908999999999997</v>
      </c>
      <c r="J51" s="121">
        <f t="shared" si="1"/>
        <v>39</v>
      </c>
      <c r="K51" s="125"/>
      <c r="L51" s="166"/>
      <c r="M51" s="166"/>
      <c r="N51" s="166"/>
      <c r="O51" s="166"/>
      <c r="P51" s="154">
        <v>51.9</v>
      </c>
      <c r="Q51" s="123" t="s">
        <v>122</v>
      </c>
      <c r="R51" s="128">
        <v>52</v>
      </c>
      <c r="S51" s="125">
        <v>18</v>
      </c>
      <c r="T51" s="371">
        <v>3.6362999999999999</v>
      </c>
      <c r="U51" s="126">
        <v>51.9</v>
      </c>
      <c r="V51" s="123" t="s">
        <v>122</v>
      </c>
      <c r="W51" s="128">
        <v>52</v>
      </c>
      <c r="X51" s="125">
        <v>18</v>
      </c>
      <c r="Y51" s="371">
        <v>3.6362999999999999</v>
      </c>
      <c r="Z51" s="126">
        <v>51.9</v>
      </c>
      <c r="AA51" s="123" t="s">
        <v>122</v>
      </c>
      <c r="AB51" s="128">
        <v>52</v>
      </c>
      <c r="AC51" s="125">
        <v>18</v>
      </c>
      <c r="AD51" s="371">
        <v>3.6362999999999999</v>
      </c>
      <c r="AE51" s="122">
        <v>51.9</v>
      </c>
      <c r="AF51" s="123" t="s">
        <v>122</v>
      </c>
      <c r="AG51" s="128">
        <v>52</v>
      </c>
      <c r="AH51" s="125">
        <v>18</v>
      </c>
      <c r="AI51" s="371">
        <v>3.6362999999999999</v>
      </c>
      <c r="AJ51" s="126">
        <v>51.9</v>
      </c>
      <c r="AK51" s="123" t="s">
        <v>122</v>
      </c>
      <c r="AL51" s="128">
        <v>52</v>
      </c>
      <c r="AM51" s="125">
        <v>18</v>
      </c>
      <c r="AN51" s="371">
        <v>3.6362999999999999</v>
      </c>
      <c r="AO51" s="126">
        <v>51.9</v>
      </c>
      <c r="AP51" s="123" t="s">
        <v>122</v>
      </c>
      <c r="AQ51" s="128">
        <v>52</v>
      </c>
      <c r="AR51" s="125">
        <v>18</v>
      </c>
      <c r="AS51" s="371">
        <v>3.6362999999999999</v>
      </c>
    </row>
    <row r="52" spans="1:45" x14ac:dyDescent="0.25">
      <c r="A52" s="116" t="s">
        <v>133</v>
      </c>
      <c r="B52" s="147">
        <v>49.1</v>
      </c>
      <c r="C52" s="118">
        <v>248</v>
      </c>
      <c r="D52" s="119">
        <v>13.3</v>
      </c>
      <c r="E52" s="120">
        <v>0.62</v>
      </c>
      <c r="F52" s="120" t="s">
        <v>512</v>
      </c>
      <c r="G52" s="120">
        <v>10.940142212385927</v>
      </c>
      <c r="H52" s="121">
        <v>24</v>
      </c>
      <c r="I52" s="343">
        <v>3.1009999999999995</v>
      </c>
      <c r="J52" s="121">
        <f t="shared" si="1"/>
        <v>45</v>
      </c>
      <c r="K52" s="125"/>
      <c r="L52" s="166"/>
      <c r="M52" s="166"/>
      <c r="N52" s="166"/>
      <c r="O52" s="166"/>
      <c r="P52" s="154">
        <v>52</v>
      </c>
      <c r="Q52" s="123" t="s">
        <v>134</v>
      </c>
      <c r="R52" s="128">
        <v>54.6</v>
      </c>
      <c r="S52" s="125">
        <v>24</v>
      </c>
      <c r="T52" s="371">
        <v>3.0124</v>
      </c>
      <c r="U52" s="126">
        <v>52</v>
      </c>
      <c r="V52" s="123" t="s">
        <v>134</v>
      </c>
      <c r="W52" s="128">
        <v>54.6</v>
      </c>
      <c r="X52" s="125">
        <v>24</v>
      </c>
      <c r="Y52" s="371">
        <v>3.0124</v>
      </c>
      <c r="Z52" s="126">
        <v>52</v>
      </c>
      <c r="AA52" s="123" t="s">
        <v>134</v>
      </c>
      <c r="AB52" s="128">
        <v>54.6</v>
      </c>
      <c r="AC52" s="125">
        <v>24</v>
      </c>
      <c r="AD52" s="371">
        <v>3.0124</v>
      </c>
      <c r="AE52" s="122">
        <v>52</v>
      </c>
      <c r="AF52" s="123" t="s">
        <v>134</v>
      </c>
      <c r="AG52" s="128">
        <v>54.6</v>
      </c>
      <c r="AH52" s="125">
        <v>24</v>
      </c>
      <c r="AI52" s="371">
        <v>3.0124</v>
      </c>
      <c r="AJ52" s="126">
        <v>52</v>
      </c>
      <c r="AK52" s="123" t="s">
        <v>134</v>
      </c>
      <c r="AL52" s="128">
        <v>54.6</v>
      </c>
      <c r="AM52" s="125">
        <v>24</v>
      </c>
      <c r="AN52" s="371">
        <v>3.0124</v>
      </c>
      <c r="AO52" s="126">
        <v>52</v>
      </c>
      <c r="AP52" s="123" t="s">
        <v>134</v>
      </c>
      <c r="AQ52" s="128">
        <v>54.6</v>
      </c>
      <c r="AR52" s="125">
        <v>24</v>
      </c>
      <c r="AS52" s="371">
        <v>3.0124</v>
      </c>
    </row>
    <row r="53" spans="1:45" x14ac:dyDescent="0.25">
      <c r="A53" s="116" t="s">
        <v>134</v>
      </c>
      <c r="B53" s="147">
        <v>54.6</v>
      </c>
      <c r="C53" s="118">
        <v>272</v>
      </c>
      <c r="D53" s="119">
        <v>14.4</v>
      </c>
      <c r="E53" s="120">
        <v>0.56000000000000005</v>
      </c>
      <c r="F53" s="120" t="s">
        <v>512</v>
      </c>
      <c r="G53" s="120">
        <v>11.958496511458852</v>
      </c>
      <c r="H53" s="121">
        <v>24</v>
      </c>
      <c r="I53" s="343">
        <v>3.0124</v>
      </c>
      <c r="J53" s="121">
        <f t="shared" si="1"/>
        <v>49</v>
      </c>
      <c r="K53" s="125"/>
      <c r="L53" s="166"/>
      <c r="M53" s="166"/>
      <c r="N53" s="166"/>
      <c r="O53" s="166"/>
      <c r="P53" s="154">
        <v>54.6</v>
      </c>
      <c r="Q53" s="123" t="s">
        <v>175</v>
      </c>
      <c r="R53" s="128">
        <v>54.6</v>
      </c>
      <c r="S53" s="125">
        <v>24</v>
      </c>
      <c r="T53" s="371">
        <v>4.0517000000000003</v>
      </c>
      <c r="U53" s="126">
        <v>54.6</v>
      </c>
      <c r="V53" s="123" t="s">
        <v>175</v>
      </c>
      <c r="W53" s="128">
        <v>54.6</v>
      </c>
      <c r="X53" s="125">
        <v>24</v>
      </c>
      <c r="Y53" s="371">
        <v>4.0517000000000003</v>
      </c>
      <c r="Z53" s="126">
        <v>54.6</v>
      </c>
      <c r="AA53" s="123" t="s">
        <v>175</v>
      </c>
      <c r="AB53" s="128">
        <v>54.6</v>
      </c>
      <c r="AC53" s="125">
        <v>24</v>
      </c>
      <c r="AD53" s="371">
        <v>4.0517000000000003</v>
      </c>
      <c r="AE53" s="122">
        <v>54.6</v>
      </c>
      <c r="AF53" s="123" t="s">
        <v>175</v>
      </c>
      <c r="AG53" s="128">
        <v>54.6</v>
      </c>
      <c r="AH53" s="125">
        <v>24</v>
      </c>
      <c r="AI53" s="371">
        <v>4.0517000000000003</v>
      </c>
      <c r="AJ53" s="126">
        <v>54.6</v>
      </c>
      <c r="AK53" s="123" t="s">
        <v>175</v>
      </c>
      <c r="AL53" s="128">
        <v>54.6</v>
      </c>
      <c r="AM53" s="125">
        <v>24</v>
      </c>
      <c r="AN53" s="371">
        <v>4.0517000000000003</v>
      </c>
      <c r="AO53" s="126">
        <v>54.6</v>
      </c>
      <c r="AP53" s="123" t="s">
        <v>175</v>
      </c>
      <c r="AQ53" s="128">
        <v>54.6</v>
      </c>
      <c r="AR53" s="125">
        <v>24</v>
      </c>
      <c r="AS53" s="371">
        <v>4.0517000000000003</v>
      </c>
    </row>
    <row r="54" spans="1:45" x14ac:dyDescent="0.25">
      <c r="A54" s="116" t="s">
        <v>135</v>
      </c>
      <c r="B54" s="147">
        <v>60</v>
      </c>
      <c r="C54" s="118">
        <v>303</v>
      </c>
      <c r="D54" s="119">
        <v>15.8</v>
      </c>
      <c r="E54" s="120">
        <v>0.61499999999999999</v>
      </c>
      <c r="F54" s="120" t="s">
        <v>512</v>
      </c>
      <c r="G54" s="120">
        <v>12.039819970391699</v>
      </c>
      <c r="H54" s="121">
        <v>24</v>
      </c>
      <c r="I54" s="343">
        <v>3.2781999999999996</v>
      </c>
      <c r="J54" s="121">
        <f t="shared" si="1"/>
        <v>54</v>
      </c>
      <c r="K54" s="125"/>
      <c r="L54" s="166"/>
      <c r="M54" s="166"/>
      <c r="N54" s="166"/>
      <c r="O54" s="166"/>
      <c r="P54" s="154">
        <v>54.6</v>
      </c>
      <c r="Q54" s="123" t="s">
        <v>209</v>
      </c>
      <c r="R54" s="27">
        <v>56.5</v>
      </c>
      <c r="S54" s="125">
        <v>24</v>
      </c>
      <c r="T54" s="371">
        <v>4.4249999999999998</v>
      </c>
      <c r="U54" s="126">
        <v>54.6</v>
      </c>
      <c r="V54" s="123" t="s">
        <v>209</v>
      </c>
      <c r="W54" s="27">
        <v>56.5</v>
      </c>
      <c r="X54" s="125">
        <v>24</v>
      </c>
      <c r="Y54" s="371">
        <v>4.4249999999999998</v>
      </c>
      <c r="Z54" s="126">
        <v>54.6</v>
      </c>
      <c r="AA54" s="123" t="s">
        <v>209</v>
      </c>
      <c r="AB54" s="27">
        <v>56.5</v>
      </c>
      <c r="AC54" s="125">
        <v>24</v>
      </c>
      <c r="AD54" s="371">
        <v>4.4249999999999998</v>
      </c>
      <c r="AE54" s="122">
        <v>54.6</v>
      </c>
      <c r="AF54" s="123" t="s">
        <v>209</v>
      </c>
      <c r="AG54" s="27">
        <v>56.5</v>
      </c>
      <c r="AH54" s="125">
        <v>24</v>
      </c>
      <c r="AI54" s="371">
        <v>4.4249999999999998</v>
      </c>
      <c r="AJ54" s="126">
        <v>54.6</v>
      </c>
      <c r="AK54" s="123" t="s">
        <v>209</v>
      </c>
      <c r="AL54" s="27">
        <v>56.5</v>
      </c>
      <c r="AM54" s="125">
        <v>24</v>
      </c>
      <c r="AN54" s="371">
        <v>4.4249999999999998</v>
      </c>
      <c r="AO54" s="126">
        <v>54.6</v>
      </c>
      <c r="AP54" s="123" t="s">
        <v>209</v>
      </c>
      <c r="AQ54" s="27">
        <v>56.5</v>
      </c>
      <c r="AR54" s="125">
        <v>24</v>
      </c>
      <c r="AS54" s="371">
        <v>4.4249999999999998</v>
      </c>
    </row>
    <row r="55" spans="1:45" x14ac:dyDescent="0.25">
      <c r="A55" s="116" t="s">
        <v>136</v>
      </c>
      <c r="B55" s="147">
        <v>66.7</v>
      </c>
      <c r="C55" s="118">
        <v>341</v>
      </c>
      <c r="D55" s="119">
        <v>17.600000000000001</v>
      </c>
      <c r="E55" s="120">
        <v>0.68</v>
      </c>
      <c r="F55" s="120" t="s">
        <v>512</v>
      </c>
      <c r="G55" s="120">
        <v>12.161450415091792</v>
      </c>
      <c r="H55" s="121">
        <v>24</v>
      </c>
      <c r="I55" s="343">
        <v>3.7212000000000005</v>
      </c>
      <c r="J55" s="121">
        <f t="shared" si="1"/>
        <v>60</v>
      </c>
      <c r="K55" s="125"/>
      <c r="L55" s="166"/>
      <c r="M55" s="166"/>
      <c r="N55" s="166"/>
      <c r="O55" s="166"/>
      <c r="P55" s="154">
        <v>56.5</v>
      </c>
      <c r="Q55" s="123" t="s">
        <v>150</v>
      </c>
      <c r="R55" s="128">
        <v>58.1</v>
      </c>
      <c r="S55" s="125">
        <v>24</v>
      </c>
      <c r="T55" s="371">
        <v>3.6548500000000002</v>
      </c>
      <c r="U55" s="126">
        <v>56.5</v>
      </c>
      <c r="V55" s="123" t="s">
        <v>218</v>
      </c>
      <c r="W55" s="27">
        <v>57.6</v>
      </c>
      <c r="X55" s="125">
        <v>30</v>
      </c>
      <c r="Y55" s="371">
        <v>5.0549999999999988</v>
      </c>
      <c r="Z55" s="126">
        <v>56.5</v>
      </c>
      <c r="AA55" s="123" t="s">
        <v>218</v>
      </c>
      <c r="AB55" s="27">
        <v>57.6</v>
      </c>
      <c r="AC55" s="125">
        <v>30</v>
      </c>
      <c r="AD55" s="371">
        <v>5.0549999999999988</v>
      </c>
      <c r="AE55" s="122">
        <v>56.5</v>
      </c>
      <c r="AF55" s="123" t="s">
        <v>218</v>
      </c>
      <c r="AG55" s="27">
        <v>57.6</v>
      </c>
      <c r="AH55" s="125">
        <v>30</v>
      </c>
      <c r="AI55" s="371">
        <v>5.0549999999999988</v>
      </c>
      <c r="AJ55" s="126">
        <v>56.5</v>
      </c>
      <c r="AK55" s="123" t="s">
        <v>218</v>
      </c>
      <c r="AL55" s="27">
        <v>57.6</v>
      </c>
      <c r="AM55" s="125">
        <v>30</v>
      </c>
      <c r="AN55" s="371">
        <v>5.0549999999999988</v>
      </c>
      <c r="AO55" s="126">
        <v>56.5</v>
      </c>
      <c r="AP55" s="123" t="s">
        <v>218</v>
      </c>
      <c r="AQ55" s="27">
        <v>57.6</v>
      </c>
      <c r="AR55" s="125">
        <v>30</v>
      </c>
      <c r="AS55" s="371">
        <v>5.0549999999999988</v>
      </c>
    </row>
    <row r="56" spans="1:45" x14ac:dyDescent="0.25">
      <c r="A56" s="116" t="s">
        <v>137</v>
      </c>
      <c r="B56" s="147">
        <v>75.7</v>
      </c>
      <c r="C56" s="118">
        <v>394</v>
      </c>
      <c r="D56" s="119">
        <v>20</v>
      </c>
      <c r="E56" s="120">
        <v>0.77</v>
      </c>
      <c r="F56" s="120" t="s">
        <v>512</v>
      </c>
      <c r="G56" s="120">
        <v>12.299981095082131</v>
      </c>
      <c r="H56" s="121">
        <v>24</v>
      </c>
      <c r="I56" s="343">
        <v>4.1641999999999992</v>
      </c>
      <c r="J56" s="121">
        <f t="shared" si="1"/>
        <v>68</v>
      </c>
      <c r="K56" s="125"/>
      <c r="L56" s="166"/>
      <c r="M56" s="166"/>
      <c r="N56" s="166"/>
      <c r="O56" s="166"/>
      <c r="P56" s="154">
        <v>58.1</v>
      </c>
      <c r="Q56" s="123" t="s">
        <v>89</v>
      </c>
      <c r="R56" s="27">
        <v>58.8</v>
      </c>
      <c r="S56" s="125">
        <v>24</v>
      </c>
      <c r="T56" s="371">
        <v>5.0058999999999996</v>
      </c>
      <c r="U56" s="126">
        <v>57.6</v>
      </c>
      <c r="V56" s="123" t="s">
        <v>150</v>
      </c>
      <c r="W56" s="128">
        <v>58.1</v>
      </c>
      <c r="X56" s="125">
        <v>24</v>
      </c>
      <c r="Y56" s="371">
        <v>3.6548500000000002</v>
      </c>
      <c r="Z56" s="126">
        <v>57.6</v>
      </c>
      <c r="AA56" s="123" t="s">
        <v>150</v>
      </c>
      <c r="AB56" s="128">
        <v>58.1</v>
      </c>
      <c r="AC56" s="125">
        <v>24</v>
      </c>
      <c r="AD56" s="371">
        <v>3.6548500000000002</v>
      </c>
      <c r="AE56" s="122">
        <v>57.6</v>
      </c>
      <c r="AF56" s="123" t="s">
        <v>150</v>
      </c>
      <c r="AG56" s="128">
        <v>58.1</v>
      </c>
      <c r="AH56" s="125">
        <v>24</v>
      </c>
      <c r="AI56" s="371">
        <v>3.6548500000000002</v>
      </c>
      <c r="AJ56" s="126">
        <v>57.6</v>
      </c>
      <c r="AK56" s="123" t="s">
        <v>150</v>
      </c>
      <c r="AL56" s="128">
        <v>58.1</v>
      </c>
      <c r="AM56" s="125">
        <v>24</v>
      </c>
      <c r="AN56" s="371">
        <v>3.6548500000000002</v>
      </c>
      <c r="AO56" s="126">
        <v>57.6</v>
      </c>
      <c r="AP56" s="123" t="s">
        <v>150</v>
      </c>
      <c r="AQ56" s="128">
        <v>58.1</v>
      </c>
      <c r="AR56" s="125">
        <v>24</v>
      </c>
      <c r="AS56" s="371">
        <v>3.6548500000000002</v>
      </c>
    </row>
    <row r="57" spans="1:45" x14ac:dyDescent="0.25">
      <c r="A57" s="116" t="s">
        <v>138</v>
      </c>
      <c r="B57" s="147">
        <v>85.9</v>
      </c>
      <c r="C57" s="118">
        <v>455</v>
      </c>
      <c r="D57" s="119">
        <v>22.6</v>
      </c>
      <c r="E57" s="120">
        <v>0.87</v>
      </c>
      <c r="F57" s="120" t="s">
        <v>512</v>
      </c>
      <c r="G57" s="120">
        <v>12.462726054535773</v>
      </c>
      <c r="H57" s="121">
        <v>24</v>
      </c>
      <c r="I57" s="343">
        <v>4.6958000000000002</v>
      </c>
      <c r="J57" s="121">
        <f t="shared" si="1"/>
        <v>77</v>
      </c>
      <c r="K57" s="125"/>
      <c r="L57" s="166"/>
      <c r="M57" s="166"/>
      <c r="N57" s="166"/>
      <c r="O57" s="166"/>
      <c r="P57" s="154">
        <v>58.8</v>
      </c>
      <c r="Q57" s="123" t="s">
        <v>135</v>
      </c>
      <c r="R57" s="128">
        <v>60</v>
      </c>
      <c r="S57" s="125">
        <v>24</v>
      </c>
      <c r="T57" s="371">
        <v>3.2781999999999996</v>
      </c>
      <c r="U57" s="126">
        <v>58.1</v>
      </c>
      <c r="V57" s="123" t="s">
        <v>89</v>
      </c>
      <c r="W57" s="27">
        <v>58.8</v>
      </c>
      <c r="X57" s="125">
        <v>24</v>
      </c>
      <c r="Y57" s="371">
        <v>5.0058999999999996</v>
      </c>
      <c r="Z57" s="126">
        <v>58.1</v>
      </c>
      <c r="AA57" s="123" t="s">
        <v>89</v>
      </c>
      <c r="AB57" s="27">
        <v>58.8</v>
      </c>
      <c r="AC57" s="125">
        <v>24</v>
      </c>
      <c r="AD57" s="371">
        <v>5.0058999999999996</v>
      </c>
      <c r="AE57" s="122">
        <v>58.1</v>
      </c>
      <c r="AF57" s="123" t="s">
        <v>89</v>
      </c>
      <c r="AG57" s="27">
        <v>58.8</v>
      </c>
      <c r="AH57" s="125">
        <v>24</v>
      </c>
      <c r="AI57" s="371">
        <v>5.0058999999999996</v>
      </c>
      <c r="AJ57" s="126">
        <v>58.1</v>
      </c>
      <c r="AK57" s="123" t="s">
        <v>89</v>
      </c>
      <c r="AL57" s="27">
        <v>58.8</v>
      </c>
      <c r="AM57" s="125">
        <v>24</v>
      </c>
      <c r="AN57" s="371">
        <v>5.0058999999999996</v>
      </c>
      <c r="AO57" s="126">
        <v>58.1</v>
      </c>
      <c r="AP57" s="123" t="s">
        <v>89</v>
      </c>
      <c r="AQ57" s="27">
        <v>58.8</v>
      </c>
      <c r="AR57" s="125">
        <v>24</v>
      </c>
      <c r="AS57" s="371">
        <v>5.0058999999999996</v>
      </c>
    </row>
    <row r="58" spans="1:45" x14ac:dyDescent="0.25">
      <c r="A58" s="116" t="s">
        <v>139</v>
      </c>
      <c r="B58" s="147">
        <v>98.5</v>
      </c>
      <c r="C58" s="118">
        <v>534</v>
      </c>
      <c r="D58" s="119">
        <v>25.9</v>
      </c>
      <c r="E58" s="120">
        <v>0.99</v>
      </c>
      <c r="F58" s="120" t="s">
        <v>512</v>
      </c>
      <c r="G58" s="120">
        <v>12.670640023740656</v>
      </c>
      <c r="H58" s="121">
        <v>24</v>
      </c>
      <c r="I58" s="343">
        <v>5.3602999999999996</v>
      </c>
      <c r="J58" s="121">
        <f t="shared" si="1"/>
        <v>88</v>
      </c>
      <c r="K58" s="125"/>
      <c r="L58" s="166"/>
      <c r="M58" s="166"/>
      <c r="N58" s="166"/>
      <c r="O58" s="166"/>
      <c r="P58" s="154">
        <v>60</v>
      </c>
      <c r="Q58" s="123" t="s">
        <v>123</v>
      </c>
      <c r="R58" s="128">
        <v>60.4</v>
      </c>
      <c r="S58" s="125">
        <v>24</v>
      </c>
      <c r="T58" s="371">
        <v>4.0640999999999998</v>
      </c>
      <c r="U58" s="126">
        <v>58.8</v>
      </c>
      <c r="V58" s="123" t="s">
        <v>135</v>
      </c>
      <c r="W58" s="128">
        <v>60</v>
      </c>
      <c r="X58" s="125">
        <v>24</v>
      </c>
      <c r="Y58" s="371">
        <v>3.2781999999999996</v>
      </c>
      <c r="Z58" s="126">
        <v>58.8</v>
      </c>
      <c r="AA58" s="123" t="s">
        <v>135</v>
      </c>
      <c r="AB58" s="128">
        <v>60</v>
      </c>
      <c r="AC58" s="125">
        <v>24</v>
      </c>
      <c r="AD58" s="371">
        <v>3.2781999999999996</v>
      </c>
      <c r="AE58" s="122">
        <v>58.8</v>
      </c>
      <c r="AF58" s="123" t="s">
        <v>135</v>
      </c>
      <c r="AG58" s="128">
        <v>60</v>
      </c>
      <c r="AH58" s="125">
        <v>24</v>
      </c>
      <c r="AI58" s="371">
        <v>3.2781999999999996</v>
      </c>
      <c r="AJ58" s="126">
        <v>58.8</v>
      </c>
      <c r="AK58" s="123" t="s">
        <v>135</v>
      </c>
      <c r="AL58" s="128">
        <v>60</v>
      </c>
      <c r="AM58" s="125">
        <v>24</v>
      </c>
      <c r="AN58" s="371">
        <v>3.2781999999999996</v>
      </c>
      <c r="AO58" s="126">
        <v>58.8</v>
      </c>
      <c r="AP58" s="123" t="s">
        <v>135</v>
      </c>
      <c r="AQ58" s="128">
        <v>60</v>
      </c>
      <c r="AR58" s="125">
        <v>24</v>
      </c>
      <c r="AS58" s="371">
        <v>3.2781999999999996</v>
      </c>
    </row>
    <row r="59" spans="1:45" x14ac:dyDescent="0.25">
      <c r="A59" s="116" t="s">
        <v>140</v>
      </c>
      <c r="B59" s="157">
        <v>112</v>
      </c>
      <c r="C59" s="118">
        <v>623</v>
      </c>
      <c r="D59" s="119">
        <v>29.4</v>
      </c>
      <c r="E59" s="120">
        <v>1.1200000000000001</v>
      </c>
      <c r="F59" s="120" t="s">
        <v>512</v>
      </c>
      <c r="G59" s="120">
        <v>12.875831912986044</v>
      </c>
      <c r="H59" s="121">
        <v>24</v>
      </c>
      <c r="I59" s="343">
        <v>6.0247999999999999</v>
      </c>
      <c r="J59" s="121">
        <f t="shared" si="1"/>
        <v>100</v>
      </c>
      <c r="K59" s="125"/>
      <c r="L59" s="166"/>
      <c r="M59" s="166"/>
      <c r="N59" s="166"/>
      <c r="O59" s="166"/>
      <c r="P59" s="154">
        <v>60.4</v>
      </c>
      <c r="Q59" s="123" t="s">
        <v>176</v>
      </c>
      <c r="R59" s="128">
        <v>62.7</v>
      </c>
      <c r="S59" s="125">
        <v>24</v>
      </c>
      <c r="T59" s="371">
        <v>3.843</v>
      </c>
      <c r="U59" s="126">
        <v>60</v>
      </c>
      <c r="V59" s="123" t="s">
        <v>123</v>
      </c>
      <c r="W59" s="128">
        <v>60.4</v>
      </c>
      <c r="X59" s="125">
        <v>24</v>
      </c>
      <c r="Y59" s="371">
        <v>4.0640999999999998</v>
      </c>
      <c r="Z59" s="126">
        <v>60</v>
      </c>
      <c r="AA59" s="123" t="s">
        <v>123</v>
      </c>
      <c r="AB59" s="128">
        <v>60.4</v>
      </c>
      <c r="AC59" s="125">
        <v>24</v>
      </c>
      <c r="AD59" s="371">
        <v>4.0640999999999998</v>
      </c>
      <c r="AE59" s="122">
        <v>60</v>
      </c>
      <c r="AF59" s="123" t="s">
        <v>123</v>
      </c>
      <c r="AG59" s="128">
        <v>60.4</v>
      </c>
      <c r="AH59" s="125">
        <v>24</v>
      </c>
      <c r="AI59" s="371">
        <v>4.0640999999999998</v>
      </c>
      <c r="AJ59" s="126">
        <v>60</v>
      </c>
      <c r="AK59" s="123" t="s">
        <v>123</v>
      </c>
      <c r="AL59" s="128">
        <v>60.4</v>
      </c>
      <c r="AM59" s="125">
        <v>24</v>
      </c>
      <c r="AN59" s="371">
        <v>4.0640999999999998</v>
      </c>
      <c r="AO59" s="126">
        <v>60</v>
      </c>
      <c r="AP59" s="123" t="s">
        <v>123</v>
      </c>
      <c r="AQ59" s="128">
        <v>60.4</v>
      </c>
      <c r="AR59" s="125">
        <v>24</v>
      </c>
      <c r="AS59" s="371">
        <v>4.0640999999999998</v>
      </c>
    </row>
    <row r="60" spans="1:45" ht="15.75" thickBot="1" x14ac:dyDescent="0.3">
      <c r="A60" s="129" t="s">
        <v>141</v>
      </c>
      <c r="B60" s="158">
        <v>126</v>
      </c>
      <c r="C60" s="131">
        <v>716</v>
      </c>
      <c r="D60" s="132">
        <v>32.9</v>
      </c>
      <c r="E60" s="133">
        <v>1.25</v>
      </c>
      <c r="F60" s="133" t="s">
        <v>512</v>
      </c>
      <c r="G60" s="133">
        <v>13.09579018620696</v>
      </c>
      <c r="H60" s="134">
        <v>24</v>
      </c>
      <c r="I60" s="344">
        <v>6.6892999999999994</v>
      </c>
      <c r="J60" s="134">
        <f t="shared" si="1"/>
        <v>112</v>
      </c>
      <c r="K60" s="125"/>
      <c r="L60" s="166"/>
      <c r="M60" s="166"/>
      <c r="N60" s="166"/>
      <c r="O60" s="166"/>
      <c r="P60" s="154">
        <v>62.7</v>
      </c>
      <c r="Q60" s="123" t="s">
        <v>151</v>
      </c>
      <c r="R60" s="128">
        <v>64.7</v>
      </c>
      <c r="S60" s="125">
        <v>24</v>
      </c>
      <c r="T60" s="371">
        <v>4.0366999999999997</v>
      </c>
      <c r="U60" s="126">
        <v>60.4</v>
      </c>
      <c r="V60" s="123" t="s">
        <v>176</v>
      </c>
      <c r="W60" s="128">
        <v>62.7</v>
      </c>
      <c r="X60" s="125">
        <v>24</v>
      </c>
      <c r="Y60" s="371">
        <v>3.843</v>
      </c>
      <c r="Z60" s="126">
        <v>60.4</v>
      </c>
      <c r="AA60" s="123" t="s">
        <v>176</v>
      </c>
      <c r="AB60" s="128">
        <v>62.7</v>
      </c>
      <c r="AC60" s="125">
        <v>24</v>
      </c>
      <c r="AD60" s="371">
        <v>3.843</v>
      </c>
      <c r="AE60" s="122">
        <v>60.4</v>
      </c>
      <c r="AF60" s="123" t="s">
        <v>176</v>
      </c>
      <c r="AG60" s="128">
        <v>62.7</v>
      </c>
      <c r="AH60" s="125">
        <v>24</v>
      </c>
      <c r="AI60" s="371">
        <v>3.843</v>
      </c>
      <c r="AJ60" s="126">
        <v>60.4</v>
      </c>
      <c r="AK60" s="123" t="s">
        <v>176</v>
      </c>
      <c r="AL60" s="128">
        <v>62.7</v>
      </c>
      <c r="AM60" s="125">
        <v>24</v>
      </c>
      <c r="AN60" s="371">
        <v>3.843</v>
      </c>
      <c r="AO60" s="126">
        <v>60.4</v>
      </c>
      <c r="AP60" s="123" t="s">
        <v>176</v>
      </c>
      <c r="AQ60" s="128">
        <v>62.7</v>
      </c>
      <c r="AR60" s="125">
        <v>24</v>
      </c>
      <c r="AS60" s="371">
        <v>3.843</v>
      </c>
    </row>
    <row r="61" spans="1:45" x14ac:dyDescent="0.25">
      <c r="A61" s="104" t="s">
        <v>142</v>
      </c>
      <c r="B61" s="156">
        <v>14.9</v>
      </c>
      <c r="C61" s="106">
        <v>88.6</v>
      </c>
      <c r="D61" s="142">
        <v>4.16</v>
      </c>
      <c r="E61" s="108">
        <v>0.22500000000000001</v>
      </c>
      <c r="F61" s="108" t="s">
        <v>514</v>
      </c>
      <c r="G61" s="108">
        <v>9.5152271422478343</v>
      </c>
      <c r="H61" s="109">
        <v>24</v>
      </c>
      <c r="I61" s="342">
        <v>2.2920000000000003</v>
      </c>
      <c r="J61" s="109">
        <f t="shared" si="1"/>
        <v>14</v>
      </c>
      <c r="K61" s="125"/>
      <c r="L61" s="166"/>
      <c r="M61" s="166"/>
      <c r="N61" s="166"/>
      <c r="O61" s="166"/>
      <c r="P61" s="154">
        <v>64.7</v>
      </c>
      <c r="Q61" s="123" t="s">
        <v>210</v>
      </c>
      <c r="R61" s="27">
        <v>64.7</v>
      </c>
      <c r="S61" s="125">
        <v>24</v>
      </c>
      <c r="T61" s="371">
        <v>4.5750000000000002</v>
      </c>
      <c r="U61" s="126">
        <v>62.7</v>
      </c>
      <c r="V61" s="123" t="s">
        <v>151</v>
      </c>
      <c r="W61" s="128">
        <v>64.7</v>
      </c>
      <c r="X61" s="125">
        <v>24</v>
      </c>
      <c r="Y61" s="371">
        <v>4.0366999999999997</v>
      </c>
      <c r="Z61" s="126">
        <v>62.7</v>
      </c>
      <c r="AA61" s="123" t="s">
        <v>151</v>
      </c>
      <c r="AB61" s="128">
        <v>64.7</v>
      </c>
      <c r="AC61" s="125">
        <v>24</v>
      </c>
      <c r="AD61" s="371">
        <v>4.0366999999999997</v>
      </c>
      <c r="AE61" s="122">
        <v>62.7</v>
      </c>
      <c r="AF61" s="123" t="s">
        <v>151</v>
      </c>
      <c r="AG61" s="128">
        <v>64.7</v>
      </c>
      <c r="AH61" s="125">
        <v>24</v>
      </c>
      <c r="AI61" s="371">
        <v>4.0366999999999997</v>
      </c>
      <c r="AJ61" s="126">
        <v>62.7</v>
      </c>
      <c r="AK61" s="123" t="s">
        <v>151</v>
      </c>
      <c r="AL61" s="128">
        <v>64.7</v>
      </c>
      <c r="AM61" s="125">
        <v>24</v>
      </c>
      <c r="AN61" s="371">
        <v>4.0366999999999997</v>
      </c>
      <c r="AO61" s="126">
        <v>62.7</v>
      </c>
      <c r="AP61" s="123" t="s">
        <v>151</v>
      </c>
      <c r="AQ61" s="128">
        <v>64.7</v>
      </c>
      <c r="AR61" s="125">
        <v>24</v>
      </c>
      <c r="AS61" s="371">
        <v>4.0366999999999997</v>
      </c>
    </row>
    <row r="62" spans="1:45" x14ac:dyDescent="0.25">
      <c r="A62" s="116" t="s">
        <v>143</v>
      </c>
      <c r="B62" s="147">
        <v>17.100000000000001</v>
      </c>
      <c r="C62" s="118">
        <v>103</v>
      </c>
      <c r="D62" s="146">
        <v>4.71</v>
      </c>
      <c r="E62" s="120">
        <v>0.26500000000000001</v>
      </c>
      <c r="F62" s="120" t="s">
        <v>514</v>
      </c>
      <c r="G62" s="120">
        <v>9.455155578419248</v>
      </c>
      <c r="H62" s="121">
        <v>24</v>
      </c>
      <c r="I62" s="343">
        <v>2.5212000000000003</v>
      </c>
      <c r="J62" s="121">
        <f t="shared" si="1"/>
        <v>16</v>
      </c>
      <c r="K62" s="125"/>
      <c r="L62" s="166"/>
      <c r="M62" s="166"/>
      <c r="N62" s="166"/>
      <c r="O62" s="166"/>
      <c r="P62" s="154">
        <v>64.7</v>
      </c>
      <c r="Q62" s="123" t="s">
        <v>136</v>
      </c>
      <c r="R62" s="128">
        <v>66.7</v>
      </c>
      <c r="S62" s="125">
        <v>24</v>
      </c>
      <c r="T62" s="371">
        <v>3.7212000000000005</v>
      </c>
      <c r="U62" s="126">
        <v>64.7</v>
      </c>
      <c r="V62" s="123" t="s">
        <v>210</v>
      </c>
      <c r="W62" s="27">
        <v>64.7</v>
      </c>
      <c r="X62" s="125">
        <v>24</v>
      </c>
      <c r="Y62" s="371">
        <v>4.5750000000000002</v>
      </c>
      <c r="Z62" s="126">
        <v>64.7</v>
      </c>
      <c r="AA62" s="123" t="s">
        <v>210</v>
      </c>
      <c r="AB62" s="27">
        <v>64.7</v>
      </c>
      <c r="AC62" s="125">
        <v>24</v>
      </c>
      <c r="AD62" s="371">
        <v>4.5750000000000002</v>
      </c>
      <c r="AE62" s="122">
        <v>64.7</v>
      </c>
      <c r="AF62" s="123" t="s">
        <v>210</v>
      </c>
      <c r="AG62" s="27">
        <v>64.7</v>
      </c>
      <c r="AH62" s="125">
        <v>24</v>
      </c>
      <c r="AI62" s="371">
        <v>4.5750000000000002</v>
      </c>
      <c r="AJ62" s="126">
        <v>64.7</v>
      </c>
      <c r="AK62" s="123" t="s">
        <v>210</v>
      </c>
      <c r="AL62" s="27">
        <v>64.7</v>
      </c>
      <c r="AM62" s="125">
        <v>24</v>
      </c>
      <c r="AN62" s="371">
        <v>4.5750000000000002</v>
      </c>
      <c r="AO62" s="126">
        <v>64.7</v>
      </c>
      <c r="AP62" s="123" t="s">
        <v>210</v>
      </c>
      <c r="AQ62" s="27">
        <v>64.7</v>
      </c>
      <c r="AR62" s="125">
        <v>24</v>
      </c>
      <c r="AS62" s="371">
        <v>4.5750000000000002</v>
      </c>
    </row>
    <row r="63" spans="1:45" x14ac:dyDescent="0.25">
      <c r="A63" s="116" t="s">
        <v>144</v>
      </c>
      <c r="B63" s="147">
        <v>21.3</v>
      </c>
      <c r="C63" s="118">
        <v>130</v>
      </c>
      <c r="D63" s="146">
        <v>5.57</v>
      </c>
      <c r="E63" s="120">
        <v>0.35</v>
      </c>
      <c r="F63" s="120" t="s">
        <v>514</v>
      </c>
      <c r="G63" s="120">
        <v>9.3159382244418847</v>
      </c>
      <c r="H63" s="121">
        <v>24</v>
      </c>
      <c r="I63" s="343">
        <v>2.6930999999999998</v>
      </c>
      <c r="J63" s="121">
        <f t="shared" si="1"/>
        <v>19</v>
      </c>
      <c r="K63" s="125"/>
      <c r="L63" s="166"/>
      <c r="M63" s="166"/>
      <c r="N63" s="166"/>
      <c r="O63" s="166"/>
      <c r="P63" s="154">
        <v>66.7</v>
      </c>
      <c r="Q63" s="59" t="s">
        <v>90</v>
      </c>
      <c r="R63" s="27">
        <v>66.8</v>
      </c>
      <c r="S63" s="125">
        <v>24</v>
      </c>
      <c r="T63" s="371">
        <v>4.7458499999999999</v>
      </c>
      <c r="U63" s="126">
        <v>64.7</v>
      </c>
      <c r="V63" s="123" t="s">
        <v>136</v>
      </c>
      <c r="W63" s="128">
        <v>66.7</v>
      </c>
      <c r="X63" s="125">
        <v>24</v>
      </c>
      <c r="Y63" s="371">
        <v>3.7212000000000005</v>
      </c>
      <c r="Z63" s="126">
        <v>64.7</v>
      </c>
      <c r="AA63" s="123" t="s">
        <v>136</v>
      </c>
      <c r="AB63" s="128">
        <v>66.7</v>
      </c>
      <c r="AC63" s="125">
        <v>24</v>
      </c>
      <c r="AD63" s="371">
        <v>3.7212000000000005</v>
      </c>
      <c r="AE63" s="122">
        <v>64.7</v>
      </c>
      <c r="AF63" s="123" t="s">
        <v>136</v>
      </c>
      <c r="AG63" s="128">
        <v>66.7</v>
      </c>
      <c r="AH63" s="125">
        <v>24</v>
      </c>
      <c r="AI63" s="371">
        <v>3.7212000000000005</v>
      </c>
      <c r="AJ63" s="126">
        <v>64.7</v>
      </c>
      <c r="AK63" s="123" t="s">
        <v>136</v>
      </c>
      <c r="AL63" s="128">
        <v>66.7</v>
      </c>
      <c r="AM63" s="125">
        <v>24</v>
      </c>
      <c r="AN63" s="371">
        <v>3.7212000000000005</v>
      </c>
      <c r="AO63" s="126">
        <v>64.7</v>
      </c>
      <c r="AP63" s="123" t="s">
        <v>136</v>
      </c>
      <c r="AQ63" s="128">
        <v>66.7</v>
      </c>
      <c r="AR63" s="125">
        <v>24</v>
      </c>
      <c r="AS63" s="371">
        <v>3.7212000000000005</v>
      </c>
    </row>
    <row r="64" spans="1:45" x14ac:dyDescent="0.25">
      <c r="A64" s="116" t="s">
        <v>145</v>
      </c>
      <c r="B64" s="147">
        <v>25.4</v>
      </c>
      <c r="C64" s="118">
        <v>156</v>
      </c>
      <c r="D64" s="146">
        <v>6.48</v>
      </c>
      <c r="E64" s="120">
        <v>0.42499999999999999</v>
      </c>
      <c r="F64" s="120" t="s">
        <v>514</v>
      </c>
      <c r="G64" s="120">
        <v>9.343539499551035</v>
      </c>
      <c r="H64" s="121">
        <v>24</v>
      </c>
      <c r="I64" s="343">
        <v>2.9796000000000005</v>
      </c>
      <c r="J64" s="121">
        <f t="shared" si="1"/>
        <v>22</v>
      </c>
      <c r="K64" s="125"/>
      <c r="L64" s="166"/>
      <c r="M64" s="166"/>
      <c r="N64" s="166"/>
      <c r="O64" s="166"/>
      <c r="P64" s="154">
        <v>66.8</v>
      </c>
      <c r="Q64" s="123" t="s">
        <v>177</v>
      </c>
      <c r="R64" s="128">
        <v>70.3</v>
      </c>
      <c r="S64" s="125">
        <v>24</v>
      </c>
      <c r="T64" s="371">
        <v>4.2738000000000005</v>
      </c>
      <c r="U64" s="126">
        <v>66.7</v>
      </c>
      <c r="V64" s="59" t="s">
        <v>90</v>
      </c>
      <c r="W64" s="27">
        <v>66.8</v>
      </c>
      <c r="X64" s="125">
        <v>24</v>
      </c>
      <c r="Y64" s="371">
        <v>4.7458499999999999</v>
      </c>
      <c r="Z64" s="126">
        <v>66.7</v>
      </c>
      <c r="AA64" s="59" t="s">
        <v>90</v>
      </c>
      <c r="AB64" s="27">
        <v>66.8</v>
      </c>
      <c r="AC64" s="125">
        <v>24</v>
      </c>
      <c r="AD64" s="371">
        <v>4.7458499999999999</v>
      </c>
      <c r="AE64" s="122">
        <v>66.7</v>
      </c>
      <c r="AF64" s="59" t="s">
        <v>90</v>
      </c>
      <c r="AG64" s="27">
        <v>66.8</v>
      </c>
      <c r="AH64" s="125">
        <v>24</v>
      </c>
      <c r="AI64" s="371">
        <v>4.7458499999999999</v>
      </c>
      <c r="AJ64" s="126">
        <v>66.7</v>
      </c>
      <c r="AK64" s="59" t="s">
        <v>90</v>
      </c>
      <c r="AL64" s="27">
        <v>66.8</v>
      </c>
      <c r="AM64" s="125">
        <v>24</v>
      </c>
      <c r="AN64" s="371">
        <v>4.7458499999999999</v>
      </c>
      <c r="AO64" s="126">
        <v>66.7</v>
      </c>
      <c r="AP64" s="59" t="s">
        <v>90</v>
      </c>
      <c r="AQ64" s="27">
        <v>66.8</v>
      </c>
      <c r="AR64" s="125">
        <v>24</v>
      </c>
      <c r="AS64" s="371">
        <v>4.7458499999999999</v>
      </c>
    </row>
    <row r="65" spans="1:45" x14ac:dyDescent="0.25">
      <c r="A65" s="116" t="s">
        <v>146</v>
      </c>
      <c r="B65" s="147">
        <v>33.4</v>
      </c>
      <c r="C65" s="118">
        <v>204</v>
      </c>
      <c r="D65" s="146">
        <v>7.65</v>
      </c>
      <c r="E65" s="120">
        <v>0.38</v>
      </c>
      <c r="F65" s="120" t="s">
        <v>514</v>
      </c>
      <c r="G65" s="120">
        <v>11.137311477270487</v>
      </c>
      <c r="H65" s="121">
        <v>24</v>
      </c>
      <c r="I65" s="343">
        <v>2.6358000000000001</v>
      </c>
      <c r="J65" s="121">
        <f t="shared" si="1"/>
        <v>26</v>
      </c>
      <c r="K65" s="125"/>
      <c r="L65" s="166"/>
      <c r="M65" s="166"/>
      <c r="N65" s="166"/>
      <c r="O65" s="166"/>
      <c r="P65" s="154">
        <v>70.3</v>
      </c>
      <c r="Q65" s="123" t="s">
        <v>152</v>
      </c>
      <c r="R65" s="128">
        <v>70.599999999999994</v>
      </c>
      <c r="S65" s="125">
        <v>24</v>
      </c>
      <c r="T65" s="371">
        <v>3.7639499999999999</v>
      </c>
      <c r="U65" s="126">
        <v>66.8</v>
      </c>
      <c r="V65" s="123" t="s">
        <v>219</v>
      </c>
      <c r="W65" s="27">
        <v>68.400000000000006</v>
      </c>
      <c r="X65" s="125">
        <v>30</v>
      </c>
      <c r="Y65" s="371">
        <v>5.3077499999999995</v>
      </c>
      <c r="Z65" s="126">
        <v>66.8</v>
      </c>
      <c r="AA65" s="123" t="s">
        <v>219</v>
      </c>
      <c r="AB65" s="27">
        <v>68.400000000000006</v>
      </c>
      <c r="AC65" s="125">
        <v>30</v>
      </c>
      <c r="AD65" s="371">
        <v>5.3077499999999995</v>
      </c>
      <c r="AE65" s="122">
        <v>66.8</v>
      </c>
      <c r="AF65" s="123" t="s">
        <v>219</v>
      </c>
      <c r="AG65" s="27">
        <v>68.400000000000006</v>
      </c>
      <c r="AH65" s="125">
        <v>30</v>
      </c>
      <c r="AI65" s="371">
        <v>5.3077499999999995</v>
      </c>
      <c r="AJ65" s="126">
        <v>66.8</v>
      </c>
      <c r="AK65" s="123" t="s">
        <v>219</v>
      </c>
      <c r="AL65" s="27">
        <v>68.400000000000006</v>
      </c>
      <c r="AM65" s="125">
        <v>30</v>
      </c>
      <c r="AN65" s="371">
        <v>5.3077499999999995</v>
      </c>
      <c r="AO65" s="126">
        <v>66.8</v>
      </c>
      <c r="AP65" s="123" t="s">
        <v>219</v>
      </c>
      <c r="AQ65" s="27">
        <v>68.400000000000006</v>
      </c>
      <c r="AR65" s="125">
        <v>30</v>
      </c>
      <c r="AS65" s="371">
        <v>5.3077499999999995</v>
      </c>
    </row>
    <row r="66" spans="1:45" x14ac:dyDescent="0.25">
      <c r="A66" s="116" t="s">
        <v>147</v>
      </c>
      <c r="B66" s="147">
        <v>38.6</v>
      </c>
      <c r="C66" s="118">
        <v>238</v>
      </c>
      <c r="D66" s="146">
        <v>8.7899999999999991</v>
      </c>
      <c r="E66" s="120">
        <v>0.44</v>
      </c>
      <c r="F66" s="120" t="s">
        <v>514</v>
      </c>
      <c r="G66" s="120">
        <v>11.213391580827794</v>
      </c>
      <c r="H66" s="121">
        <v>24</v>
      </c>
      <c r="I66" s="343">
        <v>2.9796</v>
      </c>
      <c r="J66" s="121">
        <f t="shared" si="1"/>
        <v>30</v>
      </c>
      <c r="K66" s="125"/>
      <c r="L66" s="166"/>
      <c r="M66" s="166"/>
      <c r="N66" s="166"/>
      <c r="O66" s="166"/>
      <c r="P66" s="154">
        <v>70.599999999999994</v>
      </c>
      <c r="Q66" s="123" t="s">
        <v>211</v>
      </c>
      <c r="R66" s="27">
        <v>72.7</v>
      </c>
      <c r="S66" s="125">
        <v>24</v>
      </c>
      <c r="T66" s="371">
        <v>5.1749999999999998</v>
      </c>
      <c r="U66" s="126">
        <v>68.400000000000006</v>
      </c>
      <c r="V66" s="123" t="s">
        <v>177</v>
      </c>
      <c r="W66" s="128">
        <v>70.3</v>
      </c>
      <c r="X66" s="125">
        <v>24</v>
      </c>
      <c r="Y66" s="371">
        <v>4.2738000000000005</v>
      </c>
      <c r="Z66" s="126">
        <v>68.400000000000006</v>
      </c>
      <c r="AA66" s="123" t="s">
        <v>177</v>
      </c>
      <c r="AB66" s="128">
        <v>70.3</v>
      </c>
      <c r="AC66" s="125">
        <v>24</v>
      </c>
      <c r="AD66" s="371">
        <v>4.2738000000000005</v>
      </c>
      <c r="AE66" s="122">
        <v>68.400000000000006</v>
      </c>
      <c r="AF66" s="123" t="s">
        <v>177</v>
      </c>
      <c r="AG66" s="128">
        <v>70.3</v>
      </c>
      <c r="AH66" s="125">
        <v>24</v>
      </c>
      <c r="AI66" s="371">
        <v>4.2738000000000005</v>
      </c>
      <c r="AJ66" s="126">
        <v>68.400000000000006</v>
      </c>
      <c r="AK66" s="123" t="s">
        <v>177</v>
      </c>
      <c r="AL66" s="128">
        <v>70.3</v>
      </c>
      <c r="AM66" s="125">
        <v>24</v>
      </c>
      <c r="AN66" s="371">
        <v>4.2738000000000005</v>
      </c>
      <c r="AO66" s="126">
        <v>68.400000000000006</v>
      </c>
      <c r="AP66" s="123" t="s">
        <v>177</v>
      </c>
      <c r="AQ66" s="128">
        <v>70.3</v>
      </c>
      <c r="AR66" s="125">
        <v>24</v>
      </c>
      <c r="AS66" s="371">
        <v>4.2738000000000005</v>
      </c>
    </row>
    <row r="67" spans="1:45" x14ac:dyDescent="0.25">
      <c r="A67" s="116" t="s">
        <v>148</v>
      </c>
      <c r="B67" s="147">
        <v>45.6</v>
      </c>
      <c r="C67" s="118">
        <v>285</v>
      </c>
      <c r="D67" s="119">
        <v>10.3</v>
      </c>
      <c r="E67" s="120">
        <v>0.52</v>
      </c>
      <c r="F67" s="120" t="s">
        <v>514</v>
      </c>
      <c r="G67" s="120">
        <v>11.325367384787812</v>
      </c>
      <c r="H67" s="121">
        <v>24</v>
      </c>
      <c r="I67" s="343">
        <v>3.4380000000000002</v>
      </c>
      <c r="J67" s="121">
        <f t="shared" si="1"/>
        <v>35</v>
      </c>
      <c r="K67" s="125"/>
      <c r="L67" s="166"/>
      <c r="M67" s="166"/>
      <c r="N67" s="166"/>
      <c r="O67" s="166"/>
      <c r="P67" s="154">
        <v>72.7</v>
      </c>
      <c r="Q67" s="123" t="s">
        <v>137</v>
      </c>
      <c r="R67" s="128">
        <v>75.7</v>
      </c>
      <c r="S67" s="125">
        <v>24</v>
      </c>
      <c r="T67" s="371">
        <v>4.1641999999999992</v>
      </c>
      <c r="U67" s="126">
        <v>70.3</v>
      </c>
      <c r="V67" s="123" t="s">
        <v>152</v>
      </c>
      <c r="W67" s="128">
        <v>70.599999999999994</v>
      </c>
      <c r="X67" s="125">
        <v>24</v>
      </c>
      <c r="Y67" s="371">
        <v>3.7639499999999999</v>
      </c>
      <c r="Z67" s="126">
        <v>70.3</v>
      </c>
      <c r="AA67" s="123" t="s">
        <v>152</v>
      </c>
      <c r="AB67" s="128">
        <v>70.599999999999994</v>
      </c>
      <c r="AC67" s="125">
        <v>24</v>
      </c>
      <c r="AD67" s="371">
        <v>3.7639499999999999</v>
      </c>
      <c r="AE67" s="122">
        <v>70.3</v>
      </c>
      <c r="AF67" s="123" t="s">
        <v>152</v>
      </c>
      <c r="AG67" s="128">
        <v>70.599999999999994</v>
      </c>
      <c r="AH67" s="125">
        <v>24</v>
      </c>
      <c r="AI67" s="371">
        <v>3.7639499999999999</v>
      </c>
      <c r="AJ67" s="126">
        <v>70.3</v>
      </c>
      <c r="AK67" s="123" t="s">
        <v>152</v>
      </c>
      <c r="AL67" s="128">
        <v>70.599999999999994</v>
      </c>
      <c r="AM67" s="125">
        <v>24</v>
      </c>
      <c r="AN67" s="371">
        <v>3.7639499999999999</v>
      </c>
      <c r="AO67" s="126">
        <v>70.3</v>
      </c>
      <c r="AP67" s="123" t="s">
        <v>152</v>
      </c>
      <c r="AQ67" s="128">
        <v>70.599999999999994</v>
      </c>
      <c r="AR67" s="125">
        <v>24</v>
      </c>
      <c r="AS67" s="371">
        <v>3.7639499999999999</v>
      </c>
    </row>
    <row r="68" spans="1:45" x14ac:dyDescent="0.25">
      <c r="A68" s="116" t="s">
        <v>149</v>
      </c>
      <c r="B68" s="147">
        <v>51.9</v>
      </c>
      <c r="C68" s="118">
        <v>310</v>
      </c>
      <c r="D68" s="119">
        <v>11.8</v>
      </c>
      <c r="E68" s="120">
        <v>0.51500000000000001</v>
      </c>
      <c r="F68" s="120" t="s">
        <v>514</v>
      </c>
      <c r="G68" s="120">
        <v>12.080507539255278</v>
      </c>
      <c r="H68" s="121">
        <v>24</v>
      </c>
      <c r="I68" s="343">
        <v>3.2184499999999998</v>
      </c>
      <c r="J68" s="121">
        <f t="shared" si="1"/>
        <v>40</v>
      </c>
      <c r="K68" s="125"/>
      <c r="L68" s="166"/>
      <c r="M68" s="166"/>
      <c r="N68" s="166"/>
      <c r="O68" s="166"/>
      <c r="P68" s="154">
        <v>75.7</v>
      </c>
      <c r="Q68" s="59" t="s">
        <v>178</v>
      </c>
      <c r="R68" s="128">
        <v>77.8</v>
      </c>
      <c r="S68" s="125">
        <v>24</v>
      </c>
      <c r="T68" s="371">
        <v>4.6619999999999999</v>
      </c>
      <c r="U68" s="126">
        <v>70.599999999999994</v>
      </c>
      <c r="V68" s="123" t="s">
        <v>211</v>
      </c>
      <c r="W68" s="27">
        <v>72.7</v>
      </c>
      <c r="X68" s="125">
        <v>24</v>
      </c>
      <c r="Y68" s="371">
        <v>5.1749999999999998</v>
      </c>
      <c r="Z68" s="126">
        <v>70.599999999999994</v>
      </c>
      <c r="AA68" s="123" t="s">
        <v>211</v>
      </c>
      <c r="AB68" s="27">
        <v>72.7</v>
      </c>
      <c r="AC68" s="125">
        <v>24</v>
      </c>
      <c r="AD68" s="371">
        <v>5.1749999999999998</v>
      </c>
      <c r="AE68" s="122">
        <v>70.599999999999994</v>
      </c>
      <c r="AF68" s="123" t="s">
        <v>211</v>
      </c>
      <c r="AG68" s="27">
        <v>72.7</v>
      </c>
      <c r="AH68" s="125">
        <v>24</v>
      </c>
      <c r="AI68" s="371">
        <v>5.1749999999999998</v>
      </c>
      <c r="AJ68" s="126">
        <v>70.599999999999994</v>
      </c>
      <c r="AK68" s="123" t="s">
        <v>211</v>
      </c>
      <c r="AL68" s="27">
        <v>72.7</v>
      </c>
      <c r="AM68" s="125">
        <v>24</v>
      </c>
      <c r="AN68" s="371">
        <v>5.1749999999999998</v>
      </c>
      <c r="AO68" s="126">
        <v>70.599999999999994</v>
      </c>
      <c r="AP68" s="123" t="s">
        <v>211</v>
      </c>
      <c r="AQ68" s="27">
        <v>72.7</v>
      </c>
      <c r="AR68" s="125">
        <v>24</v>
      </c>
      <c r="AS68" s="371">
        <v>5.1749999999999998</v>
      </c>
    </row>
    <row r="69" spans="1:45" x14ac:dyDescent="0.25">
      <c r="A69" s="116" t="s">
        <v>150</v>
      </c>
      <c r="B69" s="147">
        <v>58.1</v>
      </c>
      <c r="C69" s="118">
        <v>350</v>
      </c>
      <c r="D69" s="119">
        <v>13.2</v>
      </c>
      <c r="E69" s="120">
        <v>0.57499999999999996</v>
      </c>
      <c r="F69" s="120" t="s">
        <v>514</v>
      </c>
      <c r="G69" s="120">
        <v>12.180841851675986</v>
      </c>
      <c r="H69" s="121">
        <v>24</v>
      </c>
      <c r="I69" s="343">
        <v>3.6548500000000002</v>
      </c>
      <c r="J69" s="121">
        <f t="shared" si="1"/>
        <v>45</v>
      </c>
      <c r="K69" s="125"/>
      <c r="L69" s="166"/>
      <c r="M69" s="166"/>
      <c r="N69" s="166"/>
      <c r="O69" s="166"/>
      <c r="P69" s="154">
        <v>77.8</v>
      </c>
      <c r="Q69" s="123" t="s">
        <v>153</v>
      </c>
      <c r="R69" s="128">
        <v>78</v>
      </c>
      <c r="S69" s="125">
        <v>24</v>
      </c>
      <c r="T69" s="371">
        <v>3.9276</v>
      </c>
      <c r="U69" s="126">
        <v>72.7</v>
      </c>
      <c r="V69" s="123" t="s">
        <v>137</v>
      </c>
      <c r="W69" s="128">
        <v>75.7</v>
      </c>
      <c r="X69" s="125">
        <v>24</v>
      </c>
      <c r="Y69" s="371">
        <v>4.1641999999999992</v>
      </c>
      <c r="Z69" s="126">
        <v>72.7</v>
      </c>
      <c r="AA69" s="123" t="s">
        <v>137</v>
      </c>
      <c r="AB69" s="128">
        <v>75.7</v>
      </c>
      <c r="AC69" s="125">
        <v>24</v>
      </c>
      <c r="AD69" s="371">
        <v>4.1641999999999992</v>
      </c>
      <c r="AE69" s="122">
        <v>72.7</v>
      </c>
      <c r="AF69" s="123" t="s">
        <v>137</v>
      </c>
      <c r="AG69" s="128">
        <v>75.7</v>
      </c>
      <c r="AH69" s="125">
        <v>24</v>
      </c>
      <c r="AI69" s="371">
        <v>4.1641999999999992</v>
      </c>
      <c r="AJ69" s="126">
        <v>72.7</v>
      </c>
      <c r="AK69" s="123" t="s">
        <v>137</v>
      </c>
      <c r="AL69" s="128">
        <v>75.7</v>
      </c>
      <c r="AM69" s="125">
        <v>24</v>
      </c>
      <c r="AN69" s="371">
        <v>4.1641999999999992</v>
      </c>
      <c r="AO69" s="126">
        <v>72.7</v>
      </c>
      <c r="AP69" s="123" t="s">
        <v>137</v>
      </c>
      <c r="AQ69" s="128">
        <v>75.7</v>
      </c>
      <c r="AR69" s="125">
        <v>24</v>
      </c>
      <c r="AS69" s="371">
        <v>4.1641999999999992</v>
      </c>
    </row>
    <row r="70" spans="1:45" x14ac:dyDescent="0.25">
      <c r="A70" s="116" t="s">
        <v>151</v>
      </c>
      <c r="B70" s="147">
        <v>64.7</v>
      </c>
      <c r="C70" s="118">
        <v>394</v>
      </c>
      <c r="D70" s="119">
        <v>14.7</v>
      </c>
      <c r="E70" s="120">
        <v>0.64</v>
      </c>
      <c r="F70" s="120" t="s">
        <v>514</v>
      </c>
      <c r="G70" s="120">
        <v>12.275571715561087</v>
      </c>
      <c r="H70" s="121">
        <v>24</v>
      </c>
      <c r="I70" s="343">
        <v>4.0366999999999997</v>
      </c>
      <c r="J70" s="121">
        <f t="shared" si="1"/>
        <v>50</v>
      </c>
      <c r="K70" s="125"/>
      <c r="L70" s="166"/>
      <c r="M70" s="166"/>
      <c r="N70" s="166"/>
      <c r="O70" s="166"/>
      <c r="P70" s="154">
        <v>78</v>
      </c>
      <c r="Q70" s="123" t="s">
        <v>91</v>
      </c>
      <c r="R70" s="27">
        <v>79.099999999999994</v>
      </c>
      <c r="S70" s="125">
        <v>24</v>
      </c>
      <c r="T70" s="371">
        <v>5.6186500000000006</v>
      </c>
      <c r="U70" s="126">
        <v>75.7</v>
      </c>
      <c r="V70" s="59" t="s">
        <v>178</v>
      </c>
      <c r="W70" s="128">
        <v>77.8</v>
      </c>
      <c r="X70" s="125">
        <v>24</v>
      </c>
      <c r="Y70" s="371">
        <v>4.6619999999999999</v>
      </c>
      <c r="Z70" s="126">
        <v>75.7</v>
      </c>
      <c r="AA70" s="59" t="s">
        <v>178</v>
      </c>
      <c r="AB70" s="128">
        <v>77.8</v>
      </c>
      <c r="AC70" s="125">
        <v>24</v>
      </c>
      <c r="AD70" s="371">
        <v>4.6619999999999999</v>
      </c>
      <c r="AE70" s="122">
        <v>75.7</v>
      </c>
      <c r="AF70" s="59" t="s">
        <v>178</v>
      </c>
      <c r="AG70" s="128">
        <v>77.8</v>
      </c>
      <c r="AH70" s="125">
        <v>24</v>
      </c>
      <c r="AI70" s="371">
        <v>4.6619999999999999</v>
      </c>
      <c r="AJ70" s="126">
        <v>75.7</v>
      </c>
      <c r="AK70" s="59" t="s">
        <v>178</v>
      </c>
      <c r="AL70" s="128">
        <v>77.8</v>
      </c>
      <c r="AM70" s="125">
        <v>24</v>
      </c>
      <c r="AN70" s="371">
        <v>4.6619999999999999</v>
      </c>
      <c r="AO70" s="126">
        <v>75.7</v>
      </c>
      <c r="AP70" s="59" t="s">
        <v>178</v>
      </c>
      <c r="AQ70" s="128">
        <v>77.8</v>
      </c>
      <c r="AR70" s="125">
        <v>24</v>
      </c>
      <c r="AS70" s="371">
        <v>4.6619999999999999</v>
      </c>
    </row>
    <row r="71" spans="1:45" x14ac:dyDescent="0.25">
      <c r="A71" s="116" t="s">
        <v>152</v>
      </c>
      <c r="B71" s="147">
        <v>70.599999999999994</v>
      </c>
      <c r="C71" s="118">
        <v>425</v>
      </c>
      <c r="D71" s="119">
        <v>15.6</v>
      </c>
      <c r="E71" s="120">
        <v>0.57499999999999996</v>
      </c>
      <c r="F71" s="120" t="s">
        <v>512</v>
      </c>
      <c r="G71" s="120">
        <v>13.343728660001371</v>
      </c>
      <c r="H71" s="121">
        <v>24</v>
      </c>
      <c r="I71" s="343">
        <v>3.7639499999999999</v>
      </c>
      <c r="J71" s="121">
        <f t="shared" ref="J71:J134" si="11">VALUE(RIGHT(A71,3))</f>
        <v>53</v>
      </c>
      <c r="K71" s="125"/>
      <c r="L71" s="166"/>
      <c r="M71" s="166"/>
      <c r="N71" s="166"/>
      <c r="O71" s="166"/>
      <c r="P71" s="154">
        <v>79.099999999999994</v>
      </c>
      <c r="Q71" s="123" t="s">
        <v>94</v>
      </c>
      <c r="R71" s="27">
        <v>80.3</v>
      </c>
      <c r="S71" s="125">
        <v>24</v>
      </c>
      <c r="T71" s="371">
        <v>5.3452000000000002</v>
      </c>
      <c r="U71" s="126">
        <v>77.8</v>
      </c>
      <c r="V71" s="123" t="s">
        <v>153</v>
      </c>
      <c r="W71" s="128">
        <v>78</v>
      </c>
      <c r="X71" s="125">
        <v>24</v>
      </c>
      <c r="Y71" s="371">
        <v>3.9276</v>
      </c>
      <c r="Z71" s="126">
        <v>77.8</v>
      </c>
      <c r="AA71" s="123" t="s">
        <v>153</v>
      </c>
      <c r="AB71" s="128">
        <v>78</v>
      </c>
      <c r="AC71" s="125">
        <v>24</v>
      </c>
      <c r="AD71" s="371">
        <v>3.9276</v>
      </c>
      <c r="AE71" s="122">
        <v>77.8</v>
      </c>
      <c r="AF71" s="123" t="s">
        <v>153</v>
      </c>
      <c r="AG71" s="128">
        <v>78</v>
      </c>
      <c r="AH71" s="125">
        <v>24</v>
      </c>
      <c r="AI71" s="371">
        <v>3.9276</v>
      </c>
      <c r="AJ71" s="126">
        <v>77.8</v>
      </c>
      <c r="AK71" s="123" t="s">
        <v>153</v>
      </c>
      <c r="AL71" s="128">
        <v>78</v>
      </c>
      <c r="AM71" s="125">
        <v>24</v>
      </c>
      <c r="AN71" s="371">
        <v>3.9276</v>
      </c>
      <c r="AO71" s="126">
        <v>77.8</v>
      </c>
      <c r="AP71" s="123" t="s">
        <v>153</v>
      </c>
      <c r="AQ71" s="128">
        <v>78</v>
      </c>
      <c r="AR71" s="125">
        <v>24</v>
      </c>
      <c r="AS71" s="371">
        <v>3.9276</v>
      </c>
    </row>
    <row r="72" spans="1:45" x14ac:dyDescent="0.25">
      <c r="A72" s="116" t="s">
        <v>153</v>
      </c>
      <c r="B72" s="147">
        <v>78</v>
      </c>
      <c r="C72" s="118">
        <v>475</v>
      </c>
      <c r="D72" s="119">
        <v>17</v>
      </c>
      <c r="E72" s="120">
        <v>0.64</v>
      </c>
      <c r="F72" s="120" t="s">
        <v>512</v>
      </c>
      <c r="G72" s="120">
        <v>13.389720585732608</v>
      </c>
      <c r="H72" s="121">
        <v>24</v>
      </c>
      <c r="I72" s="343">
        <v>3.9276</v>
      </c>
      <c r="J72" s="121">
        <f t="shared" si="11"/>
        <v>58</v>
      </c>
      <c r="K72" s="125"/>
      <c r="L72" s="166"/>
      <c r="M72" s="166"/>
      <c r="N72" s="166"/>
      <c r="O72" s="166"/>
      <c r="P72" s="154">
        <v>80.3</v>
      </c>
      <c r="Q72" s="123" t="s">
        <v>212</v>
      </c>
      <c r="R72" s="27">
        <v>81</v>
      </c>
      <c r="S72" s="125">
        <v>24</v>
      </c>
      <c r="T72" s="371">
        <v>5.7000000000000011</v>
      </c>
      <c r="U72" s="126">
        <v>78</v>
      </c>
      <c r="V72" s="123" t="s">
        <v>220</v>
      </c>
      <c r="W72" s="27">
        <v>78.8</v>
      </c>
      <c r="X72" s="125">
        <v>30</v>
      </c>
      <c r="Y72" s="371">
        <v>6.0659999999999989</v>
      </c>
      <c r="Z72" s="126">
        <v>78</v>
      </c>
      <c r="AA72" s="123" t="s">
        <v>220</v>
      </c>
      <c r="AB72" s="27">
        <v>78.8</v>
      </c>
      <c r="AC72" s="125">
        <v>30</v>
      </c>
      <c r="AD72" s="371">
        <v>6.0659999999999989</v>
      </c>
      <c r="AE72" s="122">
        <v>78</v>
      </c>
      <c r="AF72" s="123" t="s">
        <v>220</v>
      </c>
      <c r="AG72" s="27">
        <v>78.8</v>
      </c>
      <c r="AH72" s="125">
        <v>30</v>
      </c>
      <c r="AI72" s="371">
        <v>6.0659999999999989</v>
      </c>
      <c r="AJ72" s="126">
        <v>78</v>
      </c>
      <c r="AK72" s="123" t="s">
        <v>220</v>
      </c>
      <c r="AL72" s="27">
        <v>78.8</v>
      </c>
      <c r="AM72" s="125">
        <v>30</v>
      </c>
      <c r="AN72" s="371">
        <v>6.0659999999999989</v>
      </c>
      <c r="AO72" s="126">
        <v>78</v>
      </c>
      <c r="AP72" s="123" t="s">
        <v>220</v>
      </c>
      <c r="AQ72" s="27">
        <v>78.8</v>
      </c>
      <c r="AR72" s="125">
        <v>30</v>
      </c>
      <c r="AS72" s="371">
        <v>6.0659999999999989</v>
      </c>
    </row>
    <row r="73" spans="1:45" x14ac:dyDescent="0.25">
      <c r="A73" s="116" t="s">
        <v>154</v>
      </c>
      <c r="B73" s="147">
        <v>87.9</v>
      </c>
      <c r="C73" s="118">
        <v>533</v>
      </c>
      <c r="D73" s="119">
        <v>19.100000000000001</v>
      </c>
      <c r="E73" s="120">
        <v>0.60499999999999998</v>
      </c>
      <c r="F73" s="120" t="s">
        <v>512</v>
      </c>
      <c r="G73" s="120">
        <v>14.486061163866596</v>
      </c>
      <c r="H73" s="121">
        <v>24</v>
      </c>
      <c r="I73" s="343">
        <v>4.2549000000000001</v>
      </c>
      <c r="J73" s="121">
        <f t="shared" si="11"/>
        <v>65</v>
      </c>
      <c r="K73" s="125"/>
      <c r="L73" s="166"/>
      <c r="M73" s="166"/>
      <c r="N73" s="166"/>
      <c r="O73" s="166"/>
      <c r="P73" s="154">
        <v>81</v>
      </c>
      <c r="Q73" s="123" t="s">
        <v>138</v>
      </c>
      <c r="R73" s="128">
        <v>85.9</v>
      </c>
      <c r="S73" s="125">
        <v>24</v>
      </c>
      <c r="T73" s="371">
        <v>4.6958000000000002</v>
      </c>
      <c r="U73" s="126">
        <v>78.8</v>
      </c>
      <c r="V73" s="123" t="s">
        <v>91</v>
      </c>
      <c r="W73" s="27">
        <v>79.099999999999994</v>
      </c>
      <c r="X73" s="125">
        <v>24</v>
      </c>
      <c r="Y73" s="371">
        <v>5.6186500000000006</v>
      </c>
      <c r="Z73" s="126">
        <v>78.8</v>
      </c>
      <c r="AA73" s="123" t="s">
        <v>91</v>
      </c>
      <c r="AB73" s="27">
        <v>79.099999999999994</v>
      </c>
      <c r="AC73" s="125">
        <v>24</v>
      </c>
      <c r="AD73" s="371">
        <v>5.6186500000000006</v>
      </c>
      <c r="AE73" s="122">
        <v>78.8</v>
      </c>
      <c r="AF73" s="123" t="s">
        <v>91</v>
      </c>
      <c r="AG73" s="27">
        <v>79.099999999999994</v>
      </c>
      <c r="AH73" s="125">
        <v>24</v>
      </c>
      <c r="AI73" s="371">
        <v>5.6186500000000006</v>
      </c>
      <c r="AJ73" s="126">
        <v>78.8</v>
      </c>
      <c r="AK73" s="123" t="s">
        <v>91</v>
      </c>
      <c r="AL73" s="27">
        <v>79.099999999999994</v>
      </c>
      <c r="AM73" s="125">
        <v>24</v>
      </c>
      <c r="AN73" s="371">
        <v>5.6186500000000006</v>
      </c>
      <c r="AO73" s="126">
        <v>78.8</v>
      </c>
      <c r="AP73" s="123" t="s">
        <v>91</v>
      </c>
      <c r="AQ73" s="27">
        <v>79.099999999999994</v>
      </c>
      <c r="AR73" s="125">
        <v>24</v>
      </c>
      <c r="AS73" s="371">
        <v>5.6186500000000006</v>
      </c>
    </row>
    <row r="74" spans="1:45" x14ac:dyDescent="0.25">
      <c r="A74" s="116" t="s">
        <v>155</v>
      </c>
      <c r="B74" s="147">
        <v>97.4</v>
      </c>
      <c r="C74" s="118">
        <v>597</v>
      </c>
      <c r="D74" s="119">
        <v>21.1</v>
      </c>
      <c r="E74" s="120">
        <v>0.67</v>
      </c>
      <c r="F74" s="120" t="s">
        <v>512</v>
      </c>
      <c r="G74" s="120">
        <v>14.582548041638008</v>
      </c>
      <c r="H74" s="121">
        <v>24</v>
      </c>
      <c r="I74" s="343">
        <v>4.6913</v>
      </c>
      <c r="J74" s="121">
        <f t="shared" si="11"/>
        <v>72</v>
      </c>
      <c r="K74" s="125"/>
      <c r="L74" s="166"/>
      <c r="M74" s="166"/>
      <c r="N74" s="166"/>
      <c r="O74" s="166"/>
      <c r="P74" s="154">
        <v>85.9</v>
      </c>
      <c r="Q74" s="123" t="s">
        <v>154</v>
      </c>
      <c r="R74" s="128">
        <v>87.9</v>
      </c>
      <c r="S74" s="125">
        <v>24</v>
      </c>
      <c r="T74" s="371">
        <v>4.2549000000000001</v>
      </c>
      <c r="U74" s="126">
        <v>79.099999999999994</v>
      </c>
      <c r="V74" s="123" t="s">
        <v>94</v>
      </c>
      <c r="W74" s="27">
        <v>80.3</v>
      </c>
      <c r="X74" s="125">
        <v>24</v>
      </c>
      <c r="Y74" s="371">
        <v>5.3452000000000002</v>
      </c>
      <c r="Z74" s="126">
        <v>79.099999999999994</v>
      </c>
      <c r="AA74" s="123" t="s">
        <v>94</v>
      </c>
      <c r="AB74" s="27">
        <v>80.3</v>
      </c>
      <c r="AC74" s="125">
        <v>24</v>
      </c>
      <c r="AD74" s="371">
        <v>5.3452000000000002</v>
      </c>
      <c r="AE74" s="122">
        <v>79.099999999999994</v>
      </c>
      <c r="AF74" s="123" t="s">
        <v>94</v>
      </c>
      <c r="AG74" s="27">
        <v>80.3</v>
      </c>
      <c r="AH74" s="125">
        <v>24</v>
      </c>
      <c r="AI74" s="371">
        <v>5.3452000000000002</v>
      </c>
      <c r="AJ74" s="126">
        <v>79.099999999999994</v>
      </c>
      <c r="AK74" s="123" t="s">
        <v>94</v>
      </c>
      <c r="AL74" s="27">
        <v>80.3</v>
      </c>
      <c r="AM74" s="125">
        <v>24</v>
      </c>
      <c r="AN74" s="371">
        <v>5.3452000000000002</v>
      </c>
      <c r="AO74" s="126">
        <v>79.099999999999994</v>
      </c>
      <c r="AP74" s="123" t="s">
        <v>94</v>
      </c>
      <c r="AQ74" s="27">
        <v>80.3</v>
      </c>
      <c r="AR74" s="125">
        <v>24</v>
      </c>
      <c r="AS74" s="371">
        <v>5.3452000000000002</v>
      </c>
    </row>
    <row r="75" spans="1:45" x14ac:dyDescent="0.25">
      <c r="A75" s="116" t="s">
        <v>156</v>
      </c>
      <c r="B75" s="157">
        <v>107</v>
      </c>
      <c r="C75" s="118">
        <v>662</v>
      </c>
      <c r="D75" s="119">
        <v>23.2</v>
      </c>
      <c r="E75" s="120">
        <v>0.73499999999999999</v>
      </c>
      <c r="F75" s="120" t="s">
        <v>512</v>
      </c>
      <c r="G75" s="120">
        <v>14.684252391148206</v>
      </c>
      <c r="H75" s="121">
        <v>24</v>
      </c>
      <c r="I75" s="343">
        <v>5.1276999999999999</v>
      </c>
      <c r="J75" s="121">
        <f t="shared" si="11"/>
        <v>79</v>
      </c>
      <c r="K75" s="125"/>
      <c r="L75" s="166"/>
      <c r="M75" s="166"/>
      <c r="N75" s="166"/>
      <c r="O75" s="166"/>
      <c r="P75" s="154">
        <v>87.9</v>
      </c>
      <c r="Q75" s="59" t="s">
        <v>179</v>
      </c>
      <c r="R75" s="128">
        <v>92.2</v>
      </c>
      <c r="S75" s="125">
        <v>24</v>
      </c>
      <c r="T75" s="371">
        <v>4.7250000000000005</v>
      </c>
      <c r="U75" s="126">
        <v>80.3</v>
      </c>
      <c r="V75" s="123" t="s">
        <v>212</v>
      </c>
      <c r="W75" s="27">
        <v>81</v>
      </c>
      <c r="X75" s="125">
        <v>24</v>
      </c>
      <c r="Y75" s="371">
        <v>5.7000000000000011</v>
      </c>
      <c r="Z75" s="126">
        <v>80.3</v>
      </c>
      <c r="AA75" s="123" t="s">
        <v>212</v>
      </c>
      <c r="AB75" s="27">
        <v>81</v>
      </c>
      <c r="AC75" s="125">
        <v>24</v>
      </c>
      <c r="AD75" s="371">
        <v>5.7000000000000011</v>
      </c>
      <c r="AE75" s="122">
        <v>80.3</v>
      </c>
      <c r="AF75" s="123" t="s">
        <v>212</v>
      </c>
      <c r="AG75" s="27">
        <v>81</v>
      </c>
      <c r="AH75" s="125">
        <v>24</v>
      </c>
      <c r="AI75" s="371">
        <v>5.7000000000000011</v>
      </c>
      <c r="AJ75" s="126">
        <v>80.3</v>
      </c>
      <c r="AK75" s="123" t="s">
        <v>212</v>
      </c>
      <c r="AL75" s="27">
        <v>81</v>
      </c>
      <c r="AM75" s="125">
        <v>24</v>
      </c>
      <c r="AN75" s="371">
        <v>5.7000000000000011</v>
      </c>
      <c r="AO75" s="126">
        <v>80.3</v>
      </c>
      <c r="AP75" s="123" t="s">
        <v>212</v>
      </c>
      <c r="AQ75" s="27">
        <v>81</v>
      </c>
      <c r="AR75" s="125">
        <v>24</v>
      </c>
      <c r="AS75" s="371">
        <v>5.7000000000000011</v>
      </c>
    </row>
    <row r="76" spans="1:45" x14ac:dyDescent="0.25">
      <c r="A76" s="116" t="s">
        <v>157</v>
      </c>
      <c r="B76" s="157">
        <v>118</v>
      </c>
      <c r="C76" s="118">
        <v>740</v>
      </c>
      <c r="D76" s="119">
        <v>25.6</v>
      </c>
      <c r="E76" s="120">
        <v>0.81</v>
      </c>
      <c r="F76" s="120" t="s">
        <v>512</v>
      </c>
      <c r="G76" s="120">
        <v>14.79466622101125</v>
      </c>
      <c r="H76" s="121">
        <v>24</v>
      </c>
      <c r="I76" s="343">
        <v>5.6186500000000006</v>
      </c>
      <c r="J76" s="121">
        <f t="shared" si="11"/>
        <v>87</v>
      </c>
      <c r="K76" s="125"/>
      <c r="L76" s="166"/>
      <c r="M76" s="166"/>
      <c r="N76" s="166"/>
      <c r="O76" s="166"/>
      <c r="P76" s="154">
        <v>92.2</v>
      </c>
      <c r="Q76" s="123" t="s">
        <v>213</v>
      </c>
      <c r="R76" s="27">
        <v>92.2</v>
      </c>
      <c r="S76" s="125">
        <v>24</v>
      </c>
      <c r="T76" s="371">
        <v>6.45</v>
      </c>
      <c r="U76" s="126">
        <v>81</v>
      </c>
      <c r="V76" s="159" t="s">
        <v>241</v>
      </c>
      <c r="W76" s="160">
        <v>81.599999999999994</v>
      </c>
      <c r="X76" s="161">
        <v>30</v>
      </c>
      <c r="Y76" s="371">
        <v>6.9160000000000004</v>
      </c>
      <c r="Z76" s="126">
        <v>81</v>
      </c>
      <c r="AA76" s="159" t="s">
        <v>241</v>
      </c>
      <c r="AB76" s="160">
        <v>81.599999999999994</v>
      </c>
      <c r="AC76" s="161">
        <v>30</v>
      </c>
      <c r="AD76" s="371">
        <v>6.9160000000000004</v>
      </c>
      <c r="AE76" s="122">
        <v>81</v>
      </c>
      <c r="AF76" s="159" t="s">
        <v>241</v>
      </c>
      <c r="AG76" s="160">
        <v>81.599999999999994</v>
      </c>
      <c r="AH76" s="161">
        <v>30</v>
      </c>
      <c r="AI76" s="371">
        <v>6.9160000000000004</v>
      </c>
      <c r="AJ76" s="126">
        <v>81</v>
      </c>
      <c r="AK76" s="159" t="s">
        <v>241</v>
      </c>
      <c r="AL76" s="160">
        <v>81.599999999999994</v>
      </c>
      <c r="AM76" s="161">
        <v>30</v>
      </c>
      <c r="AN76" s="371">
        <v>6.9160000000000004</v>
      </c>
      <c r="AO76" s="126">
        <v>81</v>
      </c>
      <c r="AP76" s="159" t="s">
        <v>241</v>
      </c>
      <c r="AQ76" s="160">
        <v>81.599999999999994</v>
      </c>
      <c r="AR76" s="161">
        <v>30</v>
      </c>
      <c r="AS76" s="371">
        <v>6.9160000000000004</v>
      </c>
    </row>
    <row r="77" spans="1:45" x14ac:dyDescent="0.25">
      <c r="A77" s="116" t="s">
        <v>158</v>
      </c>
      <c r="B77" s="157">
        <v>131</v>
      </c>
      <c r="C77" s="118">
        <v>833</v>
      </c>
      <c r="D77" s="119">
        <v>28.2</v>
      </c>
      <c r="E77" s="120">
        <v>0.9</v>
      </c>
      <c r="F77" s="120" t="s">
        <v>512</v>
      </c>
      <c r="G77" s="120">
        <v>14.914909527363454</v>
      </c>
      <c r="H77" s="121">
        <v>24</v>
      </c>
      <c r="I77" s="343">
        <v>6.0005000000000006</v>
      </c>
      <c r="J77" s="121">
        <f t="shared" si="11"/>
        <v>96</v>
      </c>
      <c r="K77" s="125"/>
      <c r="L77" s="166"/>
      <c r="M77" s="166"/>
      <c r="N77" s="166"/>
      <c r="O77" s="166"/>
      <c r="P77" s="154">
        <v>92.2</v>
      </c>
      <c r="Q77" s="123" t="s">
        <v>92</v>
      </c>
      <c r="R77" s="27">
        <v>93.8</v>
      </c>
      <c r="S77" s="125">
        <v>24</v>
      </c>
      <c r="T77" s="371">
        <v>6.6005500000000001</v>
      </c>
      <c r="U77" s="126">
        <v>81.599999999999994</v>
      </c>
      <c r="V77" s="123" t="s">
        <v>138</v>
      </c>
      <c r="W77" s="128">
        <v>85.9</v>
      </c>
      <c r="X77" s="125">
        <v>24</v>
      </c>
      <c r="Y77" s="371">
        <v>4.6958000000000002</v>
      </c>
      <c r="Z77" s="126">
        <v>81.599999999999994</v>
      </c>
      <c r="AA77" s="123" t="s">
        <v>138</v>
      </c>
      <c r="AB77" s="128">
        <v>85.9</v>
      </c>
      <c r="AC77" s="125">
        <v>24</v>
      </c>
      <c r="AD77" s="371">
        <v>4.6958000000000002</v>
      </c>
      <c r="AE77" s="122">
        <v>81.599999999999994</v>
      </c>
      <c r="AF77" s="123" t="s">
        <v>138</v>
      </c>
      <c r="AG77" s="128">
        <v>85.9</v>
      </c>
      <c r="AH77" s="125">
        <v>24</v>
      </c>
      <c r="AI77" s="371">
        <v>4.6958000000000002</v>
      </c>
      <c r="AJ77" s="126">
        <v>81.599999999999994</v>
      </c>
      <c r="AK77" s="123" t="s">
        <v>138</v>
      </c>
      <c r="AL77" s="128">
        <v>85.9</v>
      </c>
      <c r="AM77" s="125">
        <v>24</v>
      </c>
      <c r="AN77" s="371">
        <v>4.6958000000000002</v>
      </c>
      <c r="AO77" s="126">
        <v>81.599999999999994</v>
      </c>
      <c r="AP77" s="123" t="s">
        <v>138</v>
      </c>
      <c r="AQ77" s="128">
        <v>85.9</v>
      </c>
      <c r="AR77" s="125">
        <v>24</v>
      </c>
      <c r="AS77" s="371">
        <v>4.6958000000000002</v>
      </c>
    </row>
    <row r="78" spans="1:45" x14ac:dyDescent="0.25">
      <c r="A78" s="116" t="s">
        <v>159</v>
      </c>
      <c r="B78" s="157">
        <v>145</v>
      </c>
      <c r="C78" s="118">
        <v>933</v>
      </c>
      <c r="D78" s="119">
        <v>31.2</v>
      </c>
      <c r="E78" s="120">
        <v>0.99</v>
      </c>
      <c r="F78" s="120" t="s">
        <v>512</v>
      </c>
      <c r="G78" s="120">
        <v>15.082702707273612</v>
      </c>
      <c r="H78" s="121">
        <v>24</v>
      </c>
      <c r="I78" s="343">
        <v>6.6551</v>
      </c>
      <c r="J78" s="121">
        <f t="shared" si="11"/>
        <v>106</v>
      </c>
      <c r="K78" s="125"/>
      <c r="L78" s="166"/>
      <c r="M78" s="166"/>
      <c r="N78" s="166"/>
      <c r="O78" s="166"/>
      <c r="P78" s="154">
        <v>93.8</v>
      </c>
      <c r="Q78" s="123" t="s">
        <v>155</v>
      </c>
      <c r="R78" s="128">
        <v>97.4</v>
      </c>
      <c r="S78" s="125">
        <v>24</v>
      </c>
      <c r="T78" s="371">
        <v>4.6913</v>
      </c>
      <c r="U78" s="126">
        <v>85.9</v>
      </c>
      <c r="V78" s="123" t="s">
        <v>154</v>
      </c>
      <c r="W78" s="128">
        <v>87.9</v>
      </c>
      <c r="X78" s="125">
        <v>24</v>
      </c>
      <c r="Y78" s="371">
        <v>4.2549000000000001</v>
      </c>
      <c r="Z78" s="126">
        <v>85.9</v>
      </c>
      <c r="AA78" s="123" t="s">
        <v>154</v>
      </c>
      <c r="AB78" s="128">
        <v>87.9</v>
      </c>
      <c r="AC78" s="125">
        <v>24</v>
      </c>
      <c r="AD78" s="371">
        <v>4.2549000000000001</v>
      </c>
      <c r="AE78" s="122">
        <v>85.9</v>
      </c>
      <c r="AF78" s="123" t="s">
        <v>154</v>
      </c>
      <c r="AG78" s="128">
        <v>87.9</v>
      </c>
      <c r="AH78" s="125">
        <v>24</v>
      </c>
      <c r="AI78" s="371">
        <v>4.2549000000000001</v>
      </c>
      <c r="AJ78" s="126">
        <v>85.9</v>
      </c>
      <c r="AK78" s="123" t="s">
        <v>154</v>
      </c>
      <c r="AL78" s="128">
        <v>87.9</v>
      </c>
      <c r="AM78" s="125">
        <v>24</v>
      </c>
      <c r="AN78" s="371">
        <v>4.2549000000000001</v>
      </c>
      <c r="AO78" s="126">
        <v>85.9</v>
      </c>
      <c r="AP78" s="123" t="s">
        <v>154</v>
      </c>
      <c r="AQ78" s="128">
        <v>87.9</v>
      </c>
      <c r="AR78" s="125">
        <v>24</v>
      </c>
      <c r="AS78" s="371">
        <v>4.2549000000000001</v>
      </c>
    </row>
    <row r="79" spans="1:45" x14ac:dyDescent="0.25">
      <c r="A79" s="116" t="s">
        <v>160</v>
      </c>
      <c r="B79" s="157">
        <v>163</v>
      </c>
      <c r="C79" s="118">
        <v>1070</v>
      </c>
      <c r="D79" s="119">
        <v>35.299999999999997</v>
      </c>
      <c r="E79" s="120">
        <v>1.105</v>
      </c>
      <c r="F79" s="120" t="s">
        <v>512</v>
      </c>
      <c r="G79" s="120">
        <v>15.290415948833397</v>
      </c>
      <c r="H79" s="121">
        <v>24</v>
      </c>
      <c r="I79" s="343">
        <v>7.7460999999999993</v>
      </c>
      <c r="J79" s="121">
        <f t="shared" si="11"/>
        <v>120</v>
      </c>
      <c r="K79" s="125"/>
      <c r="L79" s="166"/>
      <c r="M79" s="166"/>
      <c r="N79" s="166"/>
      <c r="O79" s="166"/>
      <c r="P79" s="154">
        <v>97.4</v>
      </c>
      <c r="Q79" s="123" t="s">
        <v>139</v>
      </c>
      <c r="R79" s="128">
        <v>98.5</v>
      </c>
      <c r="S79" s="125">
        <v>24</v>
      </c>
      <c r="T79" s="371">
        <v>5.3602999999999996</v>
      </c>
      <c r="U79" s="126">
        <v>87.9</v>
      </c>
      <c r="V79" s="123" t="s">
        <v>221</v>
      </c>
      <c r="W79" s="27">
        <v>88.9</v>
      </c>
      <c r="X79" s="125">
        <v>30</v>
      </c>
      <c r="Y79" s="371">
        <v>5.981749999999999</v>
      </c>
      <c r="Z79" s="126">
        <v>87.9</v>
      </c>
      <c r="AA79" s="123" t="s">
        <v>221</v>
      </c>
      <c r="AB79" s="27">
        <v>88.9</v>
      </c>
      <c r="AC79" s="125">
        <v>30</v>
      </c>
      <c r="AD79" s="371">
        <v>5.981749999999999</v>
      </c>
      <c r="AE79" s="122">
        <v>87.9</v>
      </c>
      <c r="AF79" s="123" t="s">
        <v>221</v>
      </c>
      <c r="AG79" s="27">
        <v>88.9</v>
      </c>
      <c r="AH79" s="125">
        <v>30</v>
      </c>
      <c r="AI79" s="371">
        <v>5.981749999999999</v>
      </c>
      <c r="AJ79" s="126">
        <v>87.9</v>
      </c>
      <c r="AK79" s="123" t="s">
        <v>221</v>
      </c>
      <c r="AL79" s="27">
        <v>88.9</v>
      </c>
      <c r="AM79" s="125">
        <v>30</v>
      </c>
      <c r="AN79" s="371">
        <v>5.981749999999999</v>
      </c>
      <c r="AO79" s="126">
        <v>87.9</v>
      </c>
      <c r="AP79" s="123" t="s">
        <v>221</v>
      </c>
      <c r="AQ79" s="27">
        <v>88.9</v>
      </c>
      <c r="AR79" s="125">
        <v>30</v>
      </c>
      <c r="AS79" s="371">
        <v>5.981749999999999</v>
      </c>
    </row>
    <row r="80" spans="1:45" x14ac:dyDescent="0.25">
      <c r="A80" s="116" t="s">
        <v>161</v>
      </c>
      <c r="B80" s="157">
        <v>186</v>
      </c>
      <c r="C80" s="118">
        <v>1240</v>
      </c>
      <c r="D80" s="119">
        <v>39.9</v>
      </c>
      <c r="E80" s="120">
        <v>1.25</v>
      </c>
      <c r="F80" s="120" t="s">
        <v>512</v>
      </c>
      <c r="G80" s="120">
        <v>15.548857870293807</v>
      </c>
      <c r="H80" s="121">
        <v>30</v>
      </c>
      <c r="I80" s="343">
        <v>8.6189</v>
      </c>
      <c r="J80" s="121">
        <f t="shared" si="11"/>
        <v>136</v>
      </c>
      <c r="K80" s="125"/>
      <c r="L80" s="166"/>
      <c r="M80" s="166"/>
      <c r="N80" s="166"/>
      <c r="O80" s="166"/>
      <c r="P80" s="154">
        <v>98.5</v>
      </c>
      <c r="Q80" s="59" t="s">
        <v>180</v>
      </c>
      <c r="R80" s="27">
        <v>103</v>
      </c>
      <c r="S80" s="125">
        <v>24</v>
      </c>
      <c r="T80" s="371">
        <v>5.2289999999999992</v>
      </c>
      <c r="U80" s="126">
        <v>88.9</v>
      </c>
      <c r="V80" s="59" t="s">
        <v>179</v>
      </c>
      <c r="W80" s="128">
        <v>92.2</v>
      </c>
      <c r="X80" s="125">
        <v>24</v>
      </c>
      <c r="Y80" s="371">
        <v>4.7250000000000005</v>
      </c>
      <c r="Z80" s="126">
        <v>88.9</v>
      </c>
      <c r="AA80" s="59" t="s">
        <v>179</v>
      </c>
      <c r="AB80" s="128">
        <v>92.2</v>
      </c>
      <c r="AC80" s="125">
        <v>24</v>
      </c>
      <c r="AD80" s="371">
        <v>4.7250000000000005</v>
      </c>
      <c r="AE80" s="122">
        <v>88.9</v>
      </c>
      <c r="AF80" s="59" t="s">
        <v>179</v>
      </c>
      <c r="AG80" s="128">
        <v>92.2</v>
      </c>
      <c r="AH80" s="125">
        <v>24</v>
      </c>
      <c r="AI80" s="371">
        <v>4.7250000000000005</v>
      </c>
      <c r="AJ80" s="126">
        <v>88.9</v>
      </c>
      <c r="AK80" s="59" t="s">
        <v>179</v>
      </c>
      <c r="AL80" s="128">
        <v>92.2</v>
      </c>
      <c r="AM80" s="125">
        <v>24</v>
      </c>
      <c r="AN80" s="371">
        <v>4.7250000000000005</v>
      </c>
      <c r="AO80" s="126">
        <v>88.9</v>
      </c>
      <c r="AP80" s="59" t="s">
        <v>179</v>
      </c>
      <c r="AQ80" s="128">
        <v>92.2</v>
      </c>
      <c r="AR80" s="125">
        <v>24</v>
      </c>
      <c r="AS80" s="371">
        <v>4.7250000000000005</v>
      </c>
    </row>
    <row r="81" spans="1:45" x14ac:dyDescent="0.25">
      <c r="A81" s="116" t="s">
        <v>162</v>
      </c>
      <c r="B81" s="157">
        <v>209</v>
      </c>
      <c r="C81" s="118">
        <v>1430</v>
      </c>
      <c r="D81" s="119">
        <v>44.7</v>
      </c>
      <c r="E81" s="120">
        <v>1.4</v>
      </c>
      <c r="F81" s="120" t="s">
        <v>512</v>
      </c>
      <c r="G81" s="120">
        <v>15.774570943908431</v>
      </c>
      <c r="H81" s="121">
        <v>30</v>
      </c>
      <c r="I81" s="343">
        <v>9.4916999999999998</v>
      </c>
      <c r="J81" s="121">
        <f t="shared" si="11"/>
        <v>152</v>
      </c>
      <c r="K81" s="125"/>
      <c r="L81" s="166"/>
      <c r="M81" s="166"/>
      <c r="N81" s="166"/>
      <c r="O81" s="166"/>
      <c r="P81" s="154">
        <v>103</v>
      </c>
      <c r="Q81" s="59" t="s">
        <v>93</v>
      </c>
      <c r="R81" s="27">
        <v>106</v>
      </c>
      <c r="S81" s="125">
        <v>24</v>
      </c>
      <c r="T81" s="371">
        <v>7.4733500000000008</v>
      </c>
      <c r="U81" s="126">
        <v>92.2</v>
      </c>
      <c r="V81" s="123" t="s">
        <v>213</v>
      </c>
      <c r="W81" s="27">
        <v>92.2</v>
      </c>
      <c r="X81" s="125">
        <v>24</v>
      </c>
      <c r="Y81" s="371">
        <v>6.45</v>
      </c>
      <c r="Z81" s="126">
        <v>92.2</v>
      </c>
      <c r="AA81" s="123" t="s">
        <v>213</v>
      </c>
      <c r="AB81" s="27">
        <v>92.2</v>
      </c>
      <c r="AC81" s="125">
        <v>24</v>
      </c>
      <c r="AD81" s="371">
        <v>6.45</v>
      </c>
      <c r="AE81" s="122">
        <v>92.2</v>
      </c>
      <c r="AF81" s="123" t="s">
        <v>213</v>
      </c>
      <c r="AG81" s="27">
        <v>92.2</v>
      </c>
      <c r="AH81" s="125">
        <v>24</v>
      </c>
      <c r="AI81" s="371">
        <v>6.45</v>
      </c>
      <c r="AJ81" s="126">
        <v>92.2</v>
      </c>
      <c r="AK81" s="123" t="s">
        <v>213</v>
      </c>
      <c r="AL81" s="27">
        <v>92.2</v>
      </c>
      <c r="AM81" s="125">
        <v>24</v>
      </c>
      <c r="AN81" s="371">
        <v>6.45</v>
      </c>
      <c r="AO81" s="126">
        <v>92.2</v>
      </c>
      <c r="AP81" s="123" t="s">
        <v>213</v>
      </c>
      <c r="AQ81" s="27">
        <v>92.2</v>
      </c>
      <c r="AR81" s="125">
        <v>24</v>
      </c>
      <c r="AS81" s="371">
        <v>6.45</v>
      </c>
    </row>
    <row r="82" spans="1:45" x14ac:dyDescent="0.25">
      <c r="A82" s="116" t="s">
        <v>163</v>
      </c>
      <c r="B82" s="157">
        <v>235</v>
      </c>
      <c r="C82" s="118">
        <v>1650</v>
      </c>
      <c r="D82" s="119">
        <v>50</v>
      </c>
      <c r="E82" s="120">
        <v>1.56</v>
      </c>
      <c r="F82" s="120" t="s">
        <v>512</v>
      </c>
      <c r="G82" s="120">
        <v>16.051887257223669</v>
      </c>
      <c r="H82" s="121">
        <v>30</v>
      </c>
      <c r="I82" s="343">
        <v>10.473599999999999</v>
      </c>
      <c r="J82" s="121">
        <f t="shared" si="11"/>
        <v>170</v>
      </c>
      <c r="K82" s="125"/>
      <c r="L82" s="166"/>
      <c r="M82" s="166"/>
      <c r="N82" s="166"/>
      <c r="O82" s="166"/>
      <c r="P82" s="154">
        <v>106</v>
      </c>
      <c r="Q82" s="123" t="s">
        <v>156</v>
      </c>
      <c r="R82" s="163">
        <v>107</v>
      </c>
      <c r="S82" s="125">
        <v>24</v>
      </c>
      <c r="T82" s="371">
        <v>5.1276999999999999</v>
      </c>
      <c r="U82" s="126">
        <v>92.2</v>
      </c>
      <c r="V82" s="123" t="s">
        <v>92</v>
      </c>
      <c r="W82" s="27">
        <v>93.8</v>
      </c>
      <c r="X82" s="125">
        <v>24</v>
      </c>
      <c r="Y82" s="371">
        <v>6.6005500000000001</v>
      </c>
      <c r="Z82" s="126">
        <v>92.2</v>
      </c>
      <c r="AA82" s="123" t="s">
        <v>92</v>
      </c>
      <c r="AB82" s="27">
        <v>93.8</v>
      </c>
      <c r="AC82" s="125">
        <v>24</v>
      </c>
      <c r="AD82" s="371">
        <v>6.6005500000000001</v>
      </c>
      <c r="AE82" s="122">
        <v>92.2</v>
      </c>
      <c r="AF82" s="123" t="s">
        <v>92</v>
      </c>
      <c r="AG82" s="27">
        <v>93.8</v>
      </c>
      <c r="AH82" s="125">
        <v>24</v>
      </c>
      <c r="AI82" s="371">
        <v>6.6005500000000001</v>
      </c>
      <c r="AJ82" s="126">
        <v>92.2</v>
      </c>
      <c r="AK82" s="123" t="s">
        <v>92</v>
      </c>
      <c r="AL82" s="27">
        <v>93.8</v>
      </c>
      <c r="AM82" s="125">
        <v>24</v>
      </c>
      <c r="AN82" s="371">
        <v>6.6005500000000001</v>
      </c>
      <c r="AO82" s="126">
        <v>92.2</v>
      </c>
      <c r="AP82" s="123" t="s">
        <v>92</v>
      </c>
      <c r="AQ82" s="27">
        <v>93.8</v>
      </c>
      <c r="AR82" s="125">
        <v>24</v>
      </c>
      <c r="AS82" s="371">
        <v>6.6005500000000001</v>
      </c>
    </row>
    <row r="83" spans="1:45" x14ac:dyDescent="0.25">
      <c r="A83" s="116" t="s">
        <v>164</v>
      </c>
      <c r="B83" s="157">
        <v>263</v>
      </c>
      <c r="C83" s="118">
        <v>1890</v>
      </c>
      <c r="D83" s="119">
        <v>55.8</v>
      </c>
      <c r="E83" s="120">
        <v>1.7350000000000001</v>
      </c>
      <c r="F83" s="120" t="s">
        <v>512</v>
      </c>
      <c r="G83" s="120">
        <v>16.327492517533056</v>
      </c>
      <c r="H83" s="121">
        <v>30</v>
      </c>
      <c r="I83" s="343">
        <v>11.5646</v>
      </c>
      <c r="J83" s="121">
        <f t="shared" si="11"/>
        <v>190</v>
      </c>
      <c r="K83" s="161"/>
      <c r="L83" s="166"/>
      <c r="M83" s="166"/>
      <c r="N83" s="166"/>
      <c r="O83" s="166"/>
      <c r="P83" s="154">
        <v>107</v>
      </c>
      <c r="Q83" s="123" t="s">
        <v>140</v>
      </c>
      <c r="R83" s="163">
        <v>112</v>
      </c>
      <c r="S83" s="125">
        <v>24</v>
      </c>
      <c r="T83" s="371">
        <v>6.0247999999999999</v>
      </c>
      <c r="U83" s="126">
        <v>93.8</v>
      </c>
      <c r="V83" s="159" t="s">
        <v>242</v>
      </c>
      <c r="W83" s="160">
        <v>94.5</v>
      </c>
      <c r="X83" s="161">
        <v>30</v>
      </c>
      <c r="Y83" s="371">
        <v>7.508799999999999</v>
      </c>
      <c r="Z83" s="126">
        <v>93.8</v>
      </c>
      <c r="AA83" s="159" t="s">
        <v>242</v>
      </c>
      <c r="AB83" s="160">
        <v>94.5</v>
      </c>
      <c r="AC83" s="161">
        <v>30</v>
      </c>
      <c r="AD83" s="371">
        <v>7.508799999999999</v>
      </c>
      <c r="AE83" s="122">
        <v>93.8</v>
      </c>
      <c r="AF83" s="159" t="s">
        <v>242</v>
      </c>
      <c r="AG83" s="160">
        <v>94.5</v>
      </c>
      <c r="AH83" s="161">
        <v>30</v>
      </c>
      <c r="AI83" s="371">
        <v>7.508799999999999</v>
      </c>
      <c r="AJ83" s="126">
        <v>93.8</v>
      </c>
      <c r="AK83" s="159" t="s">
        <v>242</v>
      </c>
      <c r="AL83" s="160">
        <v>94.5</v>
      </c>
      <c r="AM83" s="161">
        <v>30</v>
      </c>
      <c r="AN83" s="371">
        <v>7.508799999999999</v>
      </c>
      <c r="AO83" s="126">
        <v>93.8</v>
      </c>
      <c r="AP83" s="159" t="s">
        <v>242</v>
      </c>
      <c r="AQ83" s="160">
        <v>94.5</v>
      </c>
      <c r="AR83" s="161">
        <v>30</v>
      </c>
      <c r="AS83" s="371">
        <v>7.508799999999999</v>
      </c>
    </row>
    <row r="84" spans="1:45" x14ac:dyDescent="0.25">
      <c r="A84" s="116" t="s">
        <v>165</v>
      </c>
      <c r="B84" s="157">
        <v>292</v>
      </c>
      <c r="C84" s="118">
        <v>2140</v>
      </c>
      <c r="D84" s="119">
        <v>61.8</v>
      </c>
      <c r="E84" s="120">
        <v>1.9</v>
      </c>
      <c r="F84" s="120" t="s">
        <v>512</v>
      </c>
      <c r="G84" s="120">
        <v>16.640692838645155</v>
      </c>
      <c r="H84" s="121">
        <v>30</v>
      </c>
      <c r="I84" s="343">
        <v>12.873799999999999</v>
      </c>
      <c r="J84" s="121">
        <f t="shared" si="11"/>
        <v>210</v>
      </c>
      <c r="K84" s="125"/>
      <c r="L84" s="166"/>
      <c r="M84" s="166"/>
      <c r="N84" s="166"/>
      <c r="O84" s="166"/>
      <c r="P84" s="154">
        <v>112</v>
      </c>
      <c r="Q84" s="59" t="s">
        <v>181</v>
      </c>
      <c r="R84" s="27">
        <v>112</v>
      </c>
      <c r="S84" s="125">
        <v>24</v>
      </c>
      <c r="T84" s="371">
        <v>5.67</v>
      </c>
      <c r="U84" s="126">
        <v>94.5</v>
      </c>
      <c r="V84" s="123" t="s">
        <v>155</v>
      </c>
      <c r="W84" s="128">
        <v>97.4</v>
      </c>
      <c r="X84" s="125">
        <v>24</v>
      </c>
      <c r="Y84" s="371">
        <v>4.6913</v>
      </c>
      <c r="Z84" s="126">
        <v>94.5</v>
      </c>
      <c r="AA84" s="123" t="s">
        <v>155</v>
      </c>
      <c r="AB84" s="128">
        <v>97.4</v>
      </c>
      <c r="AC84" s="125">
        <v>24</v>
      </c>
      <c r="AD84" s="371">
        <v>4.6913</v>
      </c>
      <c r="AE84" s="122">
        <v>94.5</v>
      </c>
      <c r="AF84" s="123" t="s">
        <v>155</v>
      </c>
      <c r="AG84" s="128">
        <v>97.4</v>
      </c>
      <c r="AH84" s="125">
        <v>24</v>
      </c>
      <c r="AI84" s="371">
        <v>4.6913</v>
      </c>
      <c r="AJ84" s="126">
        <v>94.5</v>
      </c>
      <c r="AK84" s="123" t="s">
        <v>155</v>
      </c>
      <c r="AL84" s="128">
        <v>97.4</v>
      </c>
      <c r="AM84" s="125">
        <v>24</v>
      </c>
      <c r="AN84" s="371">
        <v>4.6913</v>
      </c>
      <c r="AO84" s="126">
        <v>94.5</v>
      </c>
      <c r="AP84" s="123" t="s">
        <v>155</v>
      </c>
      <c r="AQ84" s="128">
        <v>97.4</v>
      </c>
      <c r="AR84" s="125">
        <v>24</v>
      </c>
      <c r="AS84" s="371">
        <v>4.6913</v>
      </c>
    </row>
    <row r="85" spans="1:45" x14ac:dyDescent="0.25">
      <c r="A85" s="116" t="s">
        <v>166</v>
      </c>
      <c r="B85" s="157">
        <v>321</v>
      </c>
      <c r="C85" s="118">
        <v>2420</v>
      </c>
      <c r="D85" s="119">
        <v>67.7</v>
      </c>
      <c r="E85" s="120">
        <v>2.0699999999999998</v>
      </c>
      <c r="F85" s="120" t="s">
        <v>512</v>
      </c>
      <c r="G85" s="120">
        <v>16.925038681854801</v>
      </c>
      <c r="H85" s="121">
        <v>30</v>
      </c>
      <c r="I85" s="343">
        <v>14.019349999999999</v>
      </c>
      <c r="J85" s="121">
        <f t="shared" si="11"/>
        <v>230</v>
      </c>
      <c r="K85" s="161"/>
      <c r="L85" s="166"/>
      <c r="M85" s="166"/>
      <c r="N85" s="166"/>
      <c r="O85" s="166"/>
      <c r="P85" s="154">
        <v>112</v>
      </c>
      <c r="Q85" s="123" t="s">
        <v>157</v>
      </c>
      <c r="R85" s="163">
        <v>118</v>
      </c>
      <c r="S85" s="125">
        <v>24</v>
      </c>
      <c r="T85" s="371">
        <v>5.6186500000000006</v>
      </c>
      <c r="U85" s="126">
        <v>97.4</v>
      </c>
      <c r="V85" s="123" t="s">
        <v>222</v>
      </c>
      <c r="W85" s="27">
        <v>98.3</v>
      </c>
      <c r="X85" s="125">
        <v>30</v>
      </c>
      <c r="Y85" s="371">
        <v>6.5714999999999995</v>
      </c>
      <c r="Z85" s="126">
        <v>97.4</v>
      </c>
      <c r="AA85" s="123" t="s">
        <v>222</v>
      </c>
      <c r="AB85" s="27">
        <v>98.3</v>
      </c>
      <c r="AC85" s="125">
        <v>30</v>
      </c>
      <c r="AD85" s="371">
        <v>6.5714999999999995</v>
      </c>
      <c r="AE85" s="122">
        <v>97.4</v>
      </c>
      <c r="AF85" s="123" t="s">
        <v>222</v>
      </c>
      <c r="AG85" s="27">
        <v>98.3</v>
      </c>
      <c r="AH85" s="125">
        <v>30</v>
      </c>
      <c r="AI85" s="371">
        <v>6.5714999999999995</v>
      </c>
      <c r="AJ85" s="126">
        <v>97.4</v>
      </c>
      <c r="AK85" s="123" t="s">
        <v>222</v>
      </c>
      <c r="AL85" s="27">
        <v>98.3</v>
      </c>
      <c r="AM85" s="125">
        <v>30</v>
      </c>
      <c r="AN85" s="371">
        <v>6.5714999999999995</v>
      </c>
      <c r="AO85" s="126">
        <v>97.4</v>
      </c>
      <c r="AP85" s="123" t="s">
        <v>222</v>
      </c>
      <c r="AQ85" s="27">
        <v>98.3</v>
      </c>
      <c r="AR85" s="125">
        <v>30</v>
      </c>
      <c r="AS85" s="371">
        <v>6.5714999999999995</v>
      </c>
    </row>
    <row r="86" spans="1:45" x14ac:dyDescent="0.25">
      <c r="A86" s="116" t="s">
        <v>167</v>
      </c>
      <c r="B86" s="157">
        <v>353</v>
      </c>
      <c r="C86" s="118">
        <v>2720</v>
      </c>
      <c r="D86" s="119">
        <v>74.099999999999994</v>
      </c>
      <c r="E86" s="120">
        <v>2.25</v>
      </c>
      <c r="F86" s="120" t="s">
        <v>512</v>
      </c>
      <c r="G86" s="120">
        <v>17.23929810987055</v>
      </c>
      <c r="H86" s="121">
        <v>30</v>
      </c>
      <c r="I86" s="343">
        <v>15.21945</v>
      </c>
      <c r="J86" s="121">
        <f t="shared" si="11"/>
        <v>252</v>
      </c>
      <c r="K86" s="125"/>
      <c r="L86" s="166"/>
      <c r="M86" s="166"/>
      <c r="N86" s="166"/>
      <c r="O86" s="166"/>
      <c r="P86" s="154">
        <v>118</v>
      </c>
      <c r="Q86" s="59" t="s">
        <v>182</v>
      </c>
      <c r="R86" s="27">
        <v>123</v>
      </c>
      <c r="S86" s="125">
        <v>24</v>
      </c>
      <c r="T86" s="371">
        <v>6.426000000000001</v>
      </c>
      <c r="U86" s="126">
        <v>98.3</v>
      </c>
      <c r="V86" s="123" t="s">
        <v>139</v>
      </c>
      <c r="W86" s="128">
        <v>98.5</v>
      </c>
      <c r="X86" s="125">
        <v>24</v>
      </c>
      <c r="Y86" s="371">
        <v>5.3602999999999996</v>
      </c>
      <c r="Z86" s="126">
        <v>98.3</v>
      </c>
      <c r="AA86" s="123" t="s">
        <v>139</v>
      </c>
      <c r="AB86" s="128">
        <v>98.5</v>
      </c>
      <c r="AC86" s="125">
        <v>24</v>
      </c>
      <c r="AD86" s="371">
        <v>5.3602999999999996</v>
      </c>
      <c r="AE86" s="122">
        <v>98.3</v>
      </c>
      <c r="AF86" s="123" t="s">
        <v>139</v>
      </c>
      <c r="AG86" s="128">
        <v>98.5</v>
      </c>
      <c r="AH86" s="125">
        <v>24</v>
      </c>
      <c r="AI86" s="371">
        <v>5.3602999999999996</v>
      </c>
      <c r="AJ86" s="126">
        <v>98.3</v>
      </c>
      <c r="AK86" s="123" t="s">
        <v>139</v>
      </c>
      <c r="AL86" s="128">
        <v>98.5</v>
      </c>
      <c r="AM86" s="125">
        <v>24</v>
      </c>
      <c r="AN86" s="371">
        <v>5.3602999999999996</v>
      </c>
      <c r="AO86" s="126">
        <v>98.3</v>
      </c>
      <c r="AP86" s="123" t="s">
        <v>139</v>
      </c>
      <c r="AQ86" s="128">
        <v>98.5</v>
      </c>
      <c r="AR86" s="125">
        <v>24</v>
      </c>
      <c r="AS86" s="371">
        <v>5.3602999999999996</v>
      </c>
    </row>
    <row r="87" spans="1:45" x14ac:dyDescent="0.25">
      <c r="A87" s="116" t="s">
        <v>168</v>
      </c>
      <c r="B87" s="157">
        <v>393</v>
      </c>
      <c r="C87" s="118">
        <v>3110</v>
      </c>
      <c r="D87" s="119">
        <v>81.900000000000006</v>
      </c>
      <c r="E87" s="120">
        <v>2.4700000000000002</v>
      </c>
      <c r="F87" s="120" t="s">
        <v>512</v>
      </c>
      <c r="G87" s="120">
        <v>17.619658349227201</v>
      </c>
      <c r="H87" s="121">
        <v>30</v>
      </c>
      <c r="I87" s="343">
        <v>16.692299999999999</v>
      </c>
      <c r="J87" s="121">
        <f t="shared" si="11"/>
        <v>279</v>
      </c>
      <c r="K87" s="125"/>
      <c r="L87" s="166"/>
      <c r="M87" s="166"/>
      <c r="N87" s="166"/>
      <c r="O87" s="166"/>
      <c r="P87" s="154">
        <v>123</v>
      </c>
      <c r="Q87" s="123" t="s">
        <v>141</v>
      </c>
      <c r="R87" s="163">
        <v>126</v>
      </c>
      <c r="S87" s="125">
        <v>24</v>
      </c>
      <c r="T87" s="371">
        <v>6.6892999999999994</v>
      </c>
      <c r="U87" s="126">
        <v>98.5</v>
      </c>
      <c r="V87" s="123" t="s">
        <v>95</v>
      </c>
      <c r="W87" s="27">
        <v>98.8</v>
      </c>
      <c r="X87" s="125">
        <v>30</v>
      </c>
      <c r="Y87" s="371">
        <v>6.5652999999999997</v>
      </c>
      <c r="Z87" s="126">
        <v>98.5</v>
      </c>
      <c r="AA87" s="123" t="s">
        <v>95</v>
      </c>
      <c r="AB87" s="27">
        <v>98.8</v>
      </c>
      <c r="AC87" s="125">
        <v>30</v>
      </c>
      <c r="AD87" s="371">
        <v>6.5652999999999997</v>
      </c>
      <c r="AE87" s="122">
        <v>98.5</v>
      </c>
      <c r="AF87" s="123" t="s">
        <v>95</v>
      </c>
      <c r="AG87" s="27">
        <v>98.8</v>
      </c>
      <c r="AH87" s="125">
        <v>30</v>
      </c>
      <c r="AI87" s="371">
        <v>6.5652999999999997</v>
      </c>
      <c r="AJ87" s="126">
        <v>98.5</v>
      </c>
      <c r="AK87" s="123" t="s">
        <v>95</v>
      </c>
      <c r="AL87" s="27">
        <v>98.8</v>
      </c>
      <c r="AM87" s="125">
        <v>30</v>
      </c>
      <c r="AN87" s="371">
        <v>6.5652999999999997</v>
      </c>
      <c r="AO87" s="126">
        <v>98.5</v>
      </c>
      <c r="AP87" s="123" t="s">
        <v>95</v>
      </c>
      <c r="AQ87" s="27">
        <v>98.8</v>
      </c>
      <c r="AR87" s="125">
        <v>30</v>
      </c>
      <c r="AS87" s="371">
        <v>6.5652999999999997</v>
      </c>
    </row>
    <row r="88" spans="1:45" x14ac:dyDescent="0.25">
      <c r="A88" s="116" t="s">
        <v>169</v>
      </c>
      <c r="B88" s="157">
        <v>435</v>
      </c>
      <c r="C88" s="118">
        <v>3550</v>
      </c>
      <c r="D88" s="119">
        <v>89.6</v>
      </c>
      <c r="E88" s="120">
        <v>2.7050000000000001</v>
      </c>
      <c r="F88" s="120" t="s">
        <v>512</v>
      </c>
      <c r="G88" s="120">
        <v>17.991230089784331</v>
      </c>
      <c r="H88" s="121">
        <v>30</v>
      </c>
      <c r="I88" s="343">
        <v>17.728750000000002</v>
      </c>
      <c r="J88" s="121">
        <f t="shared" si="11"/>
        <v>305</v>
      </c>
      <c r="K88" s="125"/>
      <c r="L88" s="166"/>
      <c r="M88" s="166"/>
      <c r="N88" s="166"/>
      <c r="O88" s="166"/>
      <c r="P88" s="154">
        <v>126</v>
      </c>
      <c r="Q88" s="123" t="s">
        <v>158</v>
      </c>
      <c r="R88" s="163">
        <v>131</v>
      </c>
      <c r="S88" s="125">
        <v>24</v>
      </c>
      <c r="T88" s="371">
        <v>6.0005000000000006</v>
      </c>
      <c r="U88" s="126">
        <v>98.8</v>
      </c>
      <c r="V88" s="59" t="s">
        <v>180</v>
      </c>
      <c r="W88" s="27">
        <v>103</v>
      </c>
      <c r="X88" s="125">
        <v>24</v>
      </c>
      <c r="Y88" s="371">
        <v>5.2289999999999992</v>
      </c>
      <c r="Z88" s="126">
        <v>98.8</v>
      </c>
      <c r="AA88" s="59" t="s">
        <v>180</v>
      </c>
      <c r="AB88" s="27">
        <v>103</v>
      </c>
      <c r="AC88" s="125">
        <v>24</v>
      </c>
      <c r="AD88" s="371">
        <v>5.2289999999999992</v>
      </c>
      <c r="AE88" s="122">
        <v>98.8</v>
      </c>
      <c r="AF88" s="59" t="s">
        <v>180</v>
      </c>
      <c r="AG88" s="27">
        <v>103</v>
      </c>
      <c r="AH88" s="125">
        <v>24</v>
      </c>
      <c r="AI88" s="371">
        <v>5.2289999999999992</v>
      </c>
      <c r="AJ88" s="126">
        <v>98.8</v>
      </c>
      <c r="AK88" s="59" t="s">
        <v>180</v>
      </c>
      <c r="AL88" s="27">
        <v>103</v>
      </c>
      <c r="AM88" s="125">
        <v>24</v>
      </c>
      <c r="AN88" s="371">
        <v>5.2289999999999992</v>
      </c>
      <c r="AO88" s="126">
        <v>98.8</v>
      </c>
      <c r="AP88" s="59" t="s">
        <v>180</v>
      </c>
      <c r="AQ88" s="27">
        <v>103</v>
      </c>
      <c r="AR88" s="125">
        <v>24</v>
      </c>
      <c r="AS88" s="371">
        <v>5.2289999999999992</v>
      </c>
    </row>
    <row r="89" spans="1:45" ht="15.75" thickBot="1" x14ac:dyDescent="0.3">
      <c r="A89" s="129" t="s">
        <v>170</v>
      </c>
      <c r="B89" s="158">
        <v>483</v>
      </c>
      <c r="C89" s="131">
        <v>4060</v>
      </c>
      <c r="D89" s="132">
        <v>98.8</v>
      </c>
      <c r="E89" s="133">
        <v>2.9550000000000001</v>
      </c>
      <c r="F89" s="133" t="s">
        <v>512</v>
      </c>
      <c r="G89" s="133">
        <v>18.419403456581012</v>
      </c>
      <c r="H89" s="134">
        <v>30</v>
      </c>
      <c r="I89" s="344">
        <v>19.36525</v>
      </c>
      <c r="J89" s="134">
        <f t="shared" si="11"/>
        <v>336</v>
      </c>
      <c r="K89" s="125"/>
      <c r="L89" s="166"/>
      <c r="M89" s="166"/>
      <c r="N89" s="166"/>
      <c r="O89" s="166"/>
      <c r="P89" s="154">
        <v>131</v>
      </c>
      <c r="Q89" s="123" t="s">
        <v>159</v>
      </c>
      <c r="R89" s="163">
        <v>145</v>
      </c>
      <c r="S89" s="125">
        <v>24</v>
      </c>
      <c r="T89" s="371">
        <v>6.6551</v>
      </c>
      <c r="U89" s="126">
        <v>103</v>
      </c>
      <c r="V89" s="59" t="s">
        <v>93</v>
      </c>
      <c r="W89" s="27">
        <v>106</v>
      </c>
      <c r="X89" s="125">
        <v>24</v>
      </c>
      <c r="Y89" s="371">
        <v>7.4733500000000008</v>
      </c>
      <c r="Z89" s="126">
        <v>103</v>
      </c>
      <c r="AA89" s="59" t="s">
        <v>93</v>
      </c>
      <c r="AB89" s="27">
        <v>106</v>
      </c>
      <c r="AC89" s="125">
        <v>24</v>
      </c>
      <c r="AD89" s="371">
        <v>7.4733500000000008</v>
      </c>
      <c r="AE89" s="122">
        <v>103</v>
      </c>
      <c r="AF89" s="59" t="s">
        <v>93</v>
      </c>
      <c r="AG89" s="27">
        <v>106</v>
      </c>
      <c r="AH89" s="125">
        <v>24</v>
      </c>
      <c r="AI89" s="371">
        <v>7.4733500000000008</v>
      </c>
      <c r="AJ89" s="126">
        <v>103</v>
      </c>
      <c r="AK89" s="59" t="s">
        <v>93</v>
      </c>
      <c r="AL89" s="27">
        <v>106</v>
      </c>
      <c r="AM89" s="125">
        <v>24</v>
      </c>
      <c r="AN89" s="371">
        <v>7.4733500000000008</v>
      </c>
      <c r="AO89" s="126">
        <v>103</v>
      </c>
      <c r="AP89" s="59" t="s">
        <v>93</v>
      </c>
      <c r="AQ89" s="27">
        <v>106</v>
      </c>
      <c r="AR89" s="125">
        <v>24</v>
      </c>
      <c r="AS89" s="371">
        <v>7.4733500000000008</v>
      </c>
    </row>
    <row r="90" spans="1:45" ht="15.75" thickBot="1" x14ac:dyDescent="0.3">
      <c r="A90" s="104" t="s">
        <v>171</v>
      </c>
      <c r="B90" s="156">
        <v>29</v>
      </c>
      <c r="C90" s="106">
        <v>199</v>
      </c>
      <c r="D90" s="142">
        <v>6.49</v>
      </c>
      <c r="E90" s="108">
        <v>0.33500000000000002</v>
      </c>
      <c r="F90" s="108" t="s">
        <v>514</v>
      </c>
      <c r="G90" s="108">
        <v>10.992091367994608</v>
      </c>
      <c r="H90" s="109">
        <v>24</v>
      </c>
      <c r="I90" s="342">
        <v>3.0061</v>
      </c>
      <c r="J90" s="109">
        <f t="shared" si="11"/>
        <v>22</v>
      </c>
      <c r="K90" s="161"/>
      <c r="L90" s="166"/>
      <c r="M90" s="166"/>
      <c r="N90" s="166"/>
      <c r="O90" s="166"/>
      <c r="P90" s="154">
        <v>145</v>
      </c>
      <c r="Q90" s="148" t="s">
        <v>160</v>
      </c>
      <c r="R90" s="164">
        <v>163</v>
      </c>
      <c r="S90" s="150">
        <v>24</v>
      </c>
      <c r="T90" s="385">
        <v>7.7460999999999993</v>
      </c>
      <c r="U90" s="126">
        <v>106</v>
      </c>
      <c r="V90" s="123" t="s">
        <v>156</v>
      </c>
      <c r="W90" s="163">
        <v>107</v>
      </c>
      <c r="X90" s="125">
        <v>24</v>
      </c>
      <c r="Y90" s="371">
        <v>5.1276999999999999</v>
      </c>
      <c r="Z90" s="126">
        <v>106</v>
      </c>
      <c r="AA90" s="123" t="s">
        <v>156</v>
      </c>
      <c r="AB90" s="163">
        <v>107</v>
      </c>
      <c r="AC90" s="125">
        <v>24</v>
      </c>
      <c r="AD90" s="371">
        <v>5.1276999999999999</v>
      </c>
      <c r="AE90" s="122">
        <v>106</v>
      </c>
      <c r="AF90" s="123" t="s">
        <v>156</v>
      </c>
      <c r="AG90" s="163">
        <v>107</v>
      </c>
      <c r="AH90" s="125">
        <v>24</v>
      </c>
      <c r="AI90" s="371">
        <v>5.1276999999999999</v>
      </c>
      <c r="AJ90" s="126">
        <v>106</v>
      </c>
      <c r="AK90" s="123" t="s">
        <v>156</v>
      </c>
      <c r="AL90" s="163">
        <v>107</v>
      </c>
      <c r="AM90" s="125">
        <v>24</v>
      </c>
      <c r="AN90" s="371">
        <v>6.3629999999999995</v>
      </c>
      <c r="AO90" s="126">
        <v>106</v>
      </c>
      <c r="AP90" s="123" t="s">
        <v>156</v>
      </c>
      <c r="AQ90" s="163">
        <v>107</v>
      </c>
      <c r="AR90" s="125">
        <v>24</v>
      </c>
      <c r="AS90" s="371">
        <v>6.3629999999999995</v>
      </c>
    </row>
    <row r="91" spans="1:45" ht="15.75" thickBot="1" x14ac:dyDescent="0.3">
      <c r="A91" s="116" t="s">
        <v>172</v>
      </c>
      <c r="B91" s="147">
        <v>35.299999999999997</v>
      </c>
      <c r="C91" s="118">
        <v>245</v>
      </c>
      <c r="D91" s="146">
        <v>7.69</v>
      </c>
      <c r="E91" s="120">
        <v>0.42</v>
      </c>
      <c r="F91" s="120" t="s">
        <v>514</v>
      </c>
      <c r="G91" s="120">
        <v>10.960429440333364</v>
      </c>
      <c r="H91" s="121">
        <v>24</v>
      </c>
      <c r="I91" s="343">
        <v>3.3328500000000001</v>
      </c>
      <c r="J91" s="121">
        <f t="shared" si="11"/>
        <v>26</v>
      </c>
      <c r="K91" s="125"/>
      <c r="L91" s="166"/>
      <c r="M91" s="166"/>
      <c r="N91" s="166"/>
      <c r="O91" s="166"/>
      <c r="P91" s="165">
        <v>163</v>
      </c>
      <c r="Q91" s="152" t="s">
        <v>353</v>
      </c>
      <c r="R91" s="153"/>
      <c r="S91" s="153"/>
      <c r="T91" s="377"/>
      <c r="U91" s="154">
        <v>107</v>
      </c>
      <c r="V91" s="123" t="s">
        <v>98</v>
      </c>
      <c r="W91" s="27">
        <v>107</v>
      </c>
      <c r="X91" s="125">
        <v>30</v>
      </c>
      <c r="Y91" s="371">
        <v>6.3629999999999995</v>
      </c>
      <c r="Z91" s="126">
        <v>107</v>
      </c>
      <c r="AA91" s="123" t="s">
        <v>98</v>
      </c>
      <c r="AB91" s="27">
        <v>107</v>
      </c>
      <c r="AC91" s="125">
        <v>30</v>
      </c>
      <c r="AD91" s="371">
        <v>6.3629999999999995</v>
      </c>
      <c r="AE91" s="122">
        <v>107</v>
      </c>
      <c r="AF91" s="123" t="s">
        <v>98</v>
      </c>
      <c r="AG91" s="27">
        <v>107</v>
      </c>
      <c r="AH91" s="125">
        <v>30</v>
      </c>
      <c r="AI91" s="371">
        <v>6.3629999999999995</v>
      </c>
      <c r="AJ91" s="126">
        <v>107</v>
      </c>
      <c r="AK91" s="123" t="s">
        <v>98</v>
      </c>
      <c r="AL91" s="27">
        <v>107</v>
      </c>
      <c r="AM91" s="125">
        <v>30</v>
      </c>
      <c r="AN91" s="371">
        <v>5.1276999999999999</v>
      </c>
      <c r="AO91" s="126">
        <v>107</v>
      </c>
      <c r="AP91" s="123" t="s">
        <v>98</v>
      </c>
      <c r="AQ91" s="27">
        <v>107</v>
      </c>
      <c r="AR91" s="125">
        <v>30</v>
      </c>
      <c r="AS91" s="371">
        <v>5.1276999999999999</v>
      </c>
    </row>
    <row r="92" spans="1:45" x14ac:dyDescent="0.25">
      <c r="A92" s="116" t="s">
        <v>173</v>
      </c>
      <c r="B92" s="147">
        <v>42</v>
      </c>
      <c r="C92" s="118">
        <v>291</v>
      </c>
      <c r="D92" s="146">
        <v>8.85</v>
      </c>
      <c r="E92" s="120">
        <v>0.38500000000000001</v>
      </c>
      <c r="F92" s="120" t="s">
        <v>514</v>
      </c>
      <c r="G92" s="120">
        <v>12.352428987598488</v>
      </c>
      <c r="H92" s="121">
        <v>24</v>
      </c>
      <c r="I92" s="343">
        <v>3.5289000000000001</v>
      </c>
      <c r="J92" s="121">
        <f t="shared" si="11"/>
        <v>30</v>
      </c>
      <c r="K92" s="125"/>
      <c r="L92" s="166"/>
      <c r="M92" s="166"/>
      <c r="N92" s="166"/>
      <c r="O92" s="166"/>
      <c r="P92" s="155"/>
      <c r="Q92" s="166"/>
      <c r="R92" s="166"/>
      <c r="S92" s="166"/>
      <c r="T92" s="166"/>
      <c r="U92" s="154">
        <v>107</v>
      </c>
      <c r="V92" s="59" t="s">
        <v>223</v>
      </c>
      <c r="W92" s="27">
        <v>108</v>
      </c>
      <c r="X92" s="125">
        <v>30</v>
      </c>
      <c r="Y92" s="371">
        <v>6.9927499999999991</v>
      </c>
      <c r="Z92" s="126">
        <v>107</v>
      </c>
      <c r="AA92" s="59" t="s">
        <v>223</v>
      </c>
      <c r="AB92" s="27">
        <v>108</v>
      </c>
      <c r="AC92" s="125">
        <v>30</v>
      </c>
      <c r="AD92" s="371">
        <v>6.9927499999999991</v>
      </c>
      <c r="AE92" s="122">
        <v>107</v>
      </c>
      <c r="AF92" s="59" t="s">
        <v>223</v>
      </c>
      <c r="AG92" s="27">
        <v>108</v>
      </c>
      <c r="AH92" s="125">
        <v>30</v>
      </c>
      <c r="AI92" s="371">
        <v>6.9927499999999991</v>
      </c>
      <c r="AJ92" s="126">
        <v>107</v>
      </c>
      <c r="AK92" s="59" t="s">
        <v>223</v>
      </c>
      <c r="AL92" s="27">
        <v>108</v>
      </c>
      <c r="AM92" s="125">
        <v>30</v>
      </c>
      <c r="AN92" s="371">
        <v>6.9927499999999991</v>
      </c>
      <c r="AO92" s="126">
        <v>107</v>
      </c>
      <c r="AP92" s="59" t="s">
        <v>223</v>
      </c>
      <c r="AQ92" s="27">
        <v>108</v>
      </c>
      <c r="AR92" s="125">
        <v>30</v>
      </c>
      <c r="AS92" s="371">
        <v>6.9927499999999991</v>
      </c>
    </row>
    <row r="93" spans="1:45" x14ac:dyDescent="0.25">
      <c r="A93" s="116" t="s">
        <v>174</v>
      </c>
      <c r="B93" s="147">
        <v>48.6</v>
      </c>
      <c r="C93" s="118">
        <v>340</v>
      </c>
      <c r="D93" s="119">
        <v>10</v>
      </c>
      <c r="E93" s="120">
        <v>0.45500000000000002</v>
      </c>
      <c r="F93" s="120" t="s">
        <v>514</v>
      </c>
      <c r="G93" s="120">
        <v>12.329469767626122</v>
      </c>
      <c r="H93" s="121">
        <v>24</v>
      </c>
      <c r="I93" s="343">
        <v>3.7249499999999998</v>
      </c>
      <c r="J93" s="121">
        <f t="shared" si="11"/>
        <v>34</v>
      </c>
      <c r="K93" s="125"/>
      <c r="L93" s="166"/>
      <c r="M93" s="166"/>
      <c r="N93" s="166"/>
      <c r="O93" s="166"/>
      <c r="P93" s="155"/>
      <c r="Q93" s="166"/>
      <c r="R93" s="166"/>
      <c r="S93" s="166"/>
      <c r="T93" s="166"/>
      <c r="U93" s="154">
        <v>108</v>
      </c>
      <c r="V93" s="159" t="s">
        <v>243</v>
      </c>
      <c r="W93" s="160">
        <v>111</v>
      </c>
      <c r="X93" s="161">
        <v>30</v>
      </c>
      <c r="Y93" s="371">
        <v>8.0028000000000006</v>
      </c>
      <c r="Z93" s="126">
        <v>108</v>
      </c>
      <c r="AA93" s="159" t="s">
        <v>243</v>
      </c>
      <c r="AB93" s="160">
        <v>111</v>
      </c>
      <c r="AC93" s="161">
        <v>30</v>
      </c>
      <c r="AD93" s="371">
        <v>8.0028000000000006</v>
      </c>
      <c r="AE93" s="122">
        <v>108</v>
      </c>
      <c r="AF93" s="159" t="s">
        <v>243</v>
      </c>
      <c r="AG93" s="160">
        <v>111</v>
      </c>
      <c r="AH93" s="161">
        <v>30</v>
      </c>
      <c r="AI93" s="371">
        <v>8.0028000000000006</v>
      </c>
      <c r="AJ93" s="126">
        <v>108</v>
      </c>
      <c r="AK93" s="159" t="s">
        <v>243</v>
      </c>
      <c r="AL93" s="160">
        <v>111</v>
      </c>
      <c r="AM93" s="161">
        <v>30</v>
      </c>
      <c r="AN93" s="371">
        <v>8.0028000000000006</v>
      </c>
      <c r="AO93" s="126">
        <v>108</v>
      </c>
      <c r="AP93" s="159" t="s">
        <v>243</v>
      </c>
      <c r="AQ93" s="160">
        <v>111</v>
      </c>
      <c r="AR93" s="161">
        <v>30</v>
      </c>
      <c r="AS93" s="371">
        <v>8.0028000000000006</v>
      </c>
    </row>
    <row r="94" spans="1:45" x14ac:dyDescent="0.25">
      <c r="A94" s="116" t="s">
        <v>175</v>
      </c>
      <c r="B94" s="147">
        <v>54.6</v>
      </c>
      <c r="C94" s="118">
        <v>385</v>
      </c>
      <c r="D94" s="119">
        <v>11.2</v>
      </c>
      <c r="E94" s="120">
        <v>0.51500000000000001</v>
      </c>
      <c r="F94" s="120" t="s">
        <v>514</v>
      </c>
      <c r="G94" s="120">
        <v>12.371903338596489</v>
      </c>
      <c r="H94" s="121">
        <v>24</v>
      </c>
      <c r="I94" s="343">
        <v>4.0517000000000003</v>
      </c>
      <c r="J94" s="121">
        <f t="shared" si="11"/>
        <v>38</v>
      </c>
      <c r="K94" s="125"/>
      <c r="L94" s="166"/>
      <c r="M94" s="166"/>
      <c r="N94" s="166"/>
      <c r="O94" s="166"/>
      <c r="P94" s="155"/>
      <c r="Q94" s="166"/>
      <c r="R94" s="166"/>
      <c r="S94" s="166"/>
      <c r="T94" s="166"/>
      <c r="U94" s="154">
        <v>111</v>
      </c>
      <c r="V94" s="123" t="s">
        <v>140</v>
      </c>
      <c r="W94" s="163">
        <v>112</v>
      </c>
      <c r="X94" s="125">
        <v>24</v>
      </c>
      <c r="Y94" s="371">
        <v>6.0247999999999999</v>
      </c>
      <c r="Z94" s="126">
        <v>111</v>
      </c>
      <c r="AA94" s="123" t="s">
        <v>140</v>
      </c>
      <c r="AB94" s="163">
        <v>112</v>
      </c>
      <c r="AC94" s="125">
        <v>24</v>
      </c>
      <c r="AD94" s="371">
        <v>6.0247999999999999</v>
      </c>
      <c r="AE94" s="122">
        <v>111</v>
      </c>
      <c r="AF94" s="123" t="s">
        <v>140</v>
      </c>
      <c r="AG94" s="163">
        <v>112</v>
      </c>
      <c r="AH94" s="125">
        <v>24</v>
      </c>
      <c r="AI94" s="371">
        <v>6.0247999999999999</v>
      </c>
      <c r="AJ94" s="126">
        <v>111</v>
      </c>
      <c r="AK94" s="123" t="s">
        <v>140</v>
      </c>
      <c r="AL94" s="163">
        <v>112</v>
      </c>
      <c r="AM94" s="125">
        <v>24</v>
      </c>
      <c r="AN94" s="371">
        <v>6.0247999999999999</v>
      </c>
      <c r="AO94" s="126">
        <v>111</v>
      </c>
      <c r="AP94" s="123" t="s">
        <v>140</v>
      </c>
      <c r="AQ94" s="163">
        <v>112</v>
      </c>
      <c r="AR94" s="125">
        <v>24</v>
      </c>
      <c r="AS94" s="371">
        <v>6.0247999999999999</v>
      </c>
    </row>
    <row r="95" spans="1:45" x14ac:dyDescent="0.25">
      <c r="A95" s="116" t="s">
        <v>176</v>
      </c>
      <c r="B95" s="147">
        <v>62.7</v>
      </c>
      <c r="C95" s="118">
        <v>428</v>
      </c>
      <c r="D95" s="119">
        <v>12.6</v>
      </c>
      <c r="E95" s="120">
        <v>0.53</v>
      </c>
      <c r="F95" s="120" t="s">
        <v>514</v>
      </c>
      <c r="G95" s="120">
        <v>13.048888361273834</v>
      </c>
      <c r="H95" s="121">
        <v>24</v>
      </c>
      <c r="I95" s="343">
        <v>3.843</v>
      </c>
      <c r="J95" s="121">
        <f t="shared" si="11"/>
        <v>43</v>
      </c>
      <c r="K95" s="161"/>
      <c r="L95" s="166"/>
      <c r="M95" s="166"/>
      <c r="N95" s="166"/>
      <c r="O95" s="166"/>
      <c r="P95" s="155"/>
      <c r="Q95" s="166"/>
      <c r="R95" s="166"/>
      <c r="S95" s="166"/>
      <c r="T95" s="166"/>
      <c r="U95" s="154">
        <v>112</v>
      </c>
      <c r="V95" s="59" t="s">
        <v>181</v>
      </c>
      <c r="W95" s="27">
        <v>112</v>
      </c>
      <c r="X95" s="125">
        <v>24</v>
      </c>
      <c r="Y95" s="371">
        <v>5.67</v>
      </c>
      <c r="Z95" s="126">
        <v>112</v>
      </c>
      <c r="AA95" s="59" t="s">
        <v>181</v>
      </c>
      <c r="AB95" s="27">
        <v>112</v>
      </c>
      <c r="AC95" s="125">
        <v>24</v>
      </c>
      <c r="AD95" s="371">
        <v>5.67</v>
      </c>
      <c r="AE95" s="122">
        <v>112</v>
      </c>
      <c r="AF95" s="59" t="s">
        <v>181</v>
      </c>
      <c r="AG95" s="27">
        <v>112</v>
      </c>
      <c r="AH95" s="125">
        <v>24</v>
      </c>
      <c r="AI95" s="371">
        <v>5.67</v>
      </c>
      <c r="AJ95" s="126">
        <v>112</v>
      </c>
      <c r="AK95" s="59" t="s">
        <v>181</v>
      </c>
      <c r="AL95" s="27">
        <v>112</v>
      </c>
      <c r="AM95" s="125">
        <v>24</v>
      </c>
      <c r="AN95" s="371">
        <v>5.67</v>
      </c>
      <c r="AO95" s="126">
        <v>112</v>
      </c>
      <c r="AP95" s="59" t="s">
        <v>181</v>
      </c>
      <c r="AQ95" s="27">
        <v>112</v>
      </c>
      <c r="AR95" s="125">
        <v>24</v>
      </c>
      <c r="AS95" s="371">
        <v>5.67</v>
      </c>
    </row>
    <row r="96" spans="1:45" x14ac:dyDescent="0.25">
      <c r="A96" s="116" t="s">
        <v>177</v>
      </c>
      <c r="B96" s="147">
        <v>70.3</v>
      </c>
      <c r="C96" s="118">
        <v>485</v>
      </c>
      <c r="D96" s="119">
        <v>14.1</v>
      </c>
      <c r="E96" s="120">
        <v>0.59499999999999997</v>
      </c>
      <c r="F96" s="120" t="s">
        <v>512</v>
      </c>
      <c r="G96" s="120">
        <v>13.133711938016944</v>
      </c>
      <c r="H96" s="121">
        <v>24</v>
      </c>
      <c r="I96" s="343">
        <v>4.2738000000000005</v>
      </c>
      <c r="J96" s="121">
        <f t="shared" si="11"/>
        <v>48</v>
      </c>
      <c r="K96" s="125"/>
      <c r="L96" s="166"/>
      <c r="M96" s="166"/>
      <c r="N96" s="166"/>
      <c r="O96" s="166"/>
      <c r="P96" s="155"/>
      <c r="Q96" s="166"/>
      <c r="R96" s="166"/>
      <c r="S96" s="166"/>
      <c r="T96" s="166"/>
      <c r="U96" s="154">
        <v>112</v>
      </c>
      <c r="V96" s="59" t="s">
        <v>96</v>
      </c>
      <c r="W96" s="27">
        <v>117</v>
      </c>
      <c r="X96" s="125">
        <v>30</v>
      </c>
      <c r="Y96" s="371">
        <v>7.7272999999999996</v>
      </c>
      <c r="Z96" s="126">
        <v>112</v>
      </c>
      <c r="AA96" s="159" t="s">
        <v>255</v>
      </c>
      <c r="AB96" s="160">
        <v>114</v>
      </c>
      <c r="AC96" s="161">
        <v>36</v>
      </c>
      <c r="AD96" s="371">
        <v>8.9111999999999991</v>
      </c>
      <c r="AE96" s="122">
        <v>112</v>
      </c>
      <c r="AF96" s="159" t="s">
        <v>255</v>
      </c>
      <c r="AG96" s="160">
        <v>114</v>
      </c>
      <c r="AH96" s="161">
        <v>36</v>
      </c>
      <c r="AI96" s="371">
        <v>8.9111999999999991</v>
      </c>
      <c r="AJ96" s="126">
        <v>112</v>
      </c>
      <c r="AK96" s="159" t="s">
        <v>255</v>
      </c>
      <c r="AL96" s="160">
        <v>114</v>
      </c>
      <c r="AM96" s="161">
        <v>36</v>
      </c>
      <c r="AN96" s="371">
        <v>8.9111999999999991</v>
      </c>
      <c r="AO96" s="126">
        <v>112</v>
      </c>
      <c r="AP96" s="159" t="s">
        <v>255</v>
      </c>
      <c r="AQ96" s="160">
        <v>114</v>
      </c>
      <c r="AR96" s="161">
        <v>36</v>
      </c>
      <c r="AS96" s="371">
        <v>8.9111999999999991</v>
      </c>
    </row>
    <row r="97" spans="1:45" x14ac:dyDescent="0.25">
      <c r="A97" s="51" t="s">
        <v>178</v>
      </c>
      <c r="B97" s="147">
        <v>77.8</v>
      </c>
      <c r="C97" s="118">
        <v>541</v>
      </c>
      <c r="D97" s="119">
        <v>15.6</v>
      </c>
      <c r="E97" s="120">
        <v>0.66</v>
      </c>
      <c r="F97" s="120" t="s">
        <v>512</v>
      </c>
      <c r="G97" s="120">
        <v>13.211682355441747</v>
      </c>
      <c r="H97" s="121">
        <v>24</v>
      </c>
      <c r="I97" s="343">
        <v>4.6619999999999999</v>
      </c>
      <c r="J97" s="121">
        <f t="shared" si="11"/>
        <v>53</v>
      </c>
      <c r="K97" s="125"/>
      <c r="L97" s="166"/>
      <c r="M97" s="166"/>
      <c r="N97" s="166"/>
      <c r="O97" s="166"/>
      <c r="P97" s="155"/>
      <c r="Q97" s="166"/>
      <c r="R97" s="166"/>
      <c r="S97" s="166"/>
      <c r="T97" s="166"/>
      <c r="U97" s="154">
        <v>117</v>
      </c>
      <c r="V97" s="59" t="s">
        <v>214</v>
      </c>
      <c r="W97" s="27">
        <v>117</v>
      </c>
      <c r="X97" s="125">
        <v>30</v>
      </c>
      <c r="Y97" s="371">
        <v>5.9249999999999998</v>
      </c>
      <c r="Z97" s="126">
        <v>114</v>
      </c>
      <c r="AA97" s="59" t="s">
        <v>96</v>
      </c>
      <c r="AB97" s="27">
        <v>117</v>
      </c>
      <c r="AC97" s="125">
        <v>30</v>
      </c>
      <c r="AD97" s="371">
        <v>7.7272999999999996</v>
      </c>
      <c r="AE97" s="122">
        <v>114</v>
      </c>
      <c r="AF97" s="59" t="s">
        <v>96</v>
      </c>
      <c r="AG97" s="27">
        <v>117</v>
      </c>
      <c r="AH97" s="125">
        <v>30</v>
      </c>
      <c r="AI97" s="371">
        <v>7.7272999999999996</v>
      </c>
      <c r="AJ97" s="126">
        <v>114</v>
      </c>
      <c r="AK97" s="59" t="s">
        <v>96</v>
      </c>
      <c r="AL97" s="27">
        <v>117</v>
      </c>
      <c r="AM97" s="125">
        <v>30</v>
      </c>
      <c r="AN97" s="371">
        <v>7.7272999999999996</v>
      </c>
      <c r="AO97" s="126">
        <v>114</v>
      </c>
      <c r="AP97" s="59" t="s">
        <v>96</v>
      </c>
      <c r="AQ97" s="27">
        <v>117</v>
      </c>
      <c r="AR97" s="125">
        <v>30</v>
      </c>
      <c r="AS97" s="371">
        <v>7.7272999999999996</v>
      </c>
    </row>
    <row r="98" spans="1:45" x14ac:dyDescent="0.25">
      <c r="A98" s="51" t="s">
        <v>179</v>
      </c>
      <c r="B98" s="147">
        <v>92.2</v>
      </c>
      <c r="C98" s="118">
        <v>640</v>
      </c>
      <c r="D98" s="119">
        <v>17.899999999999999</v>
      </c>
      <c r="E98" s="120">
        <v>0.64500000000000002</v>
      </c>
      <c r="F98" s="120" t="s">
        <v>512</v>
      </c>
      <c r="G98" s="120">
        <v>14.432768800137101</v>
      </c>
      <c r="H98" s="121">
        <v>24</v>
      </c>
      <c r="I98" s="343">
        <v>4.7250000000000005</v>
      </c>
      <c r="J98" s="121">
        <f t="shared" si="11"/>
        <v>61</v>
      </c>
      <c r="K98" s="125"/>
      <c r="L98" s="166"/>
      <c r="M98" s="166"/>
      <c r="N98" s="166"/>
      <c r="O98" s="166"/>
      <c r="P98" s="155"/>
      <c r="Q98" s="166"/>
      <c r="R98" s="166"/>
      <c r="S98" s="166"/>
      <c r="T98" s="166"/>
      <c r="U98" s="154">
        <v>117</v>
      </c>
      <c r="V98" s="59" t="s">
        <v>224</v>
      </c>
      <c r="W98" s="27">
        <v>117</v>
      </c>
      <c r="X98" s="125">
        <v>30</v>
      </c>
      <c r="Y98" s="371">
        <v>7.5825000000000005</v>
      </c>
      <c r="Z98" s="126">
        <v>117</v>
      </c>
      <c r="AA98" s="59" t="s">
        <v>214</v>
      </c>
      <c r="AB98" s="27">
        <v>117</v>
      </c>
      <c r="AC98" s="125">
        <v>30</v>
      </c>
      <c r="AD98" s="371">
        <v>5.9249999999999998</v>
      </c>
      <c r="AE98" s="122">
        <v>117</v>
      </c>
      <c r="AF98" s="59" t="s">
        <v>214</v>
      </c>
      <c r="AG98" s="27">
        <v>117</v>
      </c>
      <c r="AH98" s="125">
        <v>30</v>
      </c>
      <c r="AI98" s="371">
        <v>5.9249999999999998</v>
      </c>
      <c r="AJ98" s="126">
        <v>117</v>
      </c>
      <c r="AK98" s="59" t="s">
        <v>214</v>
      </c>
      <c r="AL98" s="27">
        <v>117</v>
      </c>
      <c r="AM98" s="125">
        <v>30</v>
      </c>
      <c r="AN98" s="371">
        <v>5.9249999999999998</v>
      </c>
      <c r="AO98" s="126">
        <v>117</v>
      </c>
      <c r="AP98" s="59" t="s">
        <v>214</v>
      </c>
      <c r="AQ98" s="27">
        <v>117</v>
      </c>
      <c r="AR98" s="125">
        <v>30</v>
      </c>
      <c r="AS98" s="371">
        <v>5.9249999999999998</v>
      </c>
    </row>
    <row r="99" spans="1:45" x14ac:dyDescent="0.25">
      <c r="A99" s="51" t="s">
        <v>180</v>
      </c>
      <c r="B99" s="117">
        <v>103</v>
      </c>
      <c r="C99" s="118">
        <v>723</v>
      </c>
      <c r="D99" s="119">
        <v>20</v>
      </c>
      <c r="E99" s="120">
        <v>0.72</v>
      </c>
      <c r="F99" s="120" t="s">
        <v>512</v>
      </c>
      <c r="G99" s="120">
        <v>14.544331260761238</v>
      </c>
      <c r="H99" s="121">
        <v>24</v>
      </c>
      <c r="I99" s="343">
        <v>5.2289999999999992</v>
      </c>
      <c r="J99" s="121">
        <f t="shared" si="11"/>
        <v>68</v>
      </c>
      <c r="K99" s="161"/>
      <c r="L99" s="166"/>
      <c r="M99" s="166"/>
      <c r="N99" s="166"/>
      <c r="O99" s="166"/>
      <c r="P99" s="155"/>
      <c r="Q99" s="166"/>
      <c r="R99" s="166"/>
      <c r="S99" s="166"/>
      <c r="T99" s="166"/>
      <c r="U99" s="154">
        <v>117</v>
      </c>
      <c r="V99" s="123" t="s">
        <v>157</v>
      </c>
      <c r="W99" s="163">
        <v>118</v>
      </c>
      <c r="X99" s="125">
        <v>24</v>
      </c>
      <c r="Y99" s="371">
        <v>5.6186500000000006</v>
      </c>
      <c r="Z99" s="126">
        <v>117</v>
      </c>
      <c r="AA99" s="59" t="s">
        <v>224</v>
      </c>
      <c r="AB99" s="27">
        <v>117</v>
      </c>
      <c r="AC99" s="125">
        <v>30</v>
      </c>
      <c r="AD99" s="371">
        <v>7.5825000000000005</v>
      </c>
      <c r="AE99" s="122">
        <v>117</v>
      </c>
      <c r="AF99" s="59" t="s">
        <v>224</v>
      </c>
      <c r="AG99" s="27">
        <v>117</v>
      </c>
      <c r="AH99" s="125">
        <v>30</v>
      </c>
      <c r="AI99" s="371">
        <v>7.5825000000000005</v>
      </c>
      <c r="AJ99" s="126">
        <v>117</v>
      </c>
      <c r="AK99" s="59" t="s">
        <v>224</v>
      </c>
      <c r="AL99" s="27">
        <v>117</v>
      </c>
      <c r="AM99" s="125">
        <v>30</v>
      </c>
      <c r="AN99" s="371">
        <v>7.5825000000000005</v>
      </c>
      <c r="AO99" s="126">
        <v>117</v>
      </c>
      <c r="AP99" s="59" t="s">
        <v>224</v>
      </c>
      <c r="AQ99" s="27">
        <v>117</v>
      </c>
      <c r="AR99" s="125">
        <v>30</v>
      </c>
      <c r="AS99" s="371">
        <v>7.5825000000000005</v>
      </c>
    </row>
    <row r="100" spans="1:45" x14ac:dyDescent="0.25">
      <c r="A100" s="51" t="s">
        <v>181</v>
      </c>
      <c r="B100" s="117">
        <v>112</v>
      </c>
      <c r="C100" s="118">
        <v>796</v>
      </c>
      <c r="D100" s="119">
        <v>21.8</v>
      </c>
      <c r="E100" s="120">
        <v>0.78500000000000003</v>
      </c>
      <c r="F100" s="120" t="s">
        <v>512</v>
      </c>
      <c r="G100" s="120">
        <v>14.618017255282712</v>
      </c>
      <c r="H100" s="121">
        <v>24</v>
      </c>
      <c r="I100" s="343">
        <v>5.67</v>
      </c>
      <c r="J100" s="121">
        <f t="shared" si="11"/>
        <v>74</v>
      </c>
      <c r="K100" s="125"/>
      <c r="L100" s="166"/>
      <c r="M100" s="166"/>
      <c r="N100" s="166"/>
      <c r="O100" s="166"/>
      <c r="P100" s="155"/>
      <c r="Q100" s="166"/>
      <c r="R100" s="166"/>
      <c r="S100" s="166"/>
      <c r="T100" s="166"/>
      <c r="U100" s="154">
        <v>118</v>
      </c>
      <c r="V100" s="59" t="s">
        <v>182</v>
      </c>
      <c r="W100" s="27">
        <v>123</v>
      </c>
      <c r="X100" s="125">
        <v>24</v>
      </c>
      <c r="Y100" s="371">
        <v>6.426000000000001</v>
      </c>
      <c r="Z100" s="126">
        <v>117</v>
      </c>
      <c r="AA100" s="123" t="s">
        <v>157</v>
      </c>
      <c r="AB100" s="163">
        <v>118</v>
      </c>
      <c r="AC100" s="125">
        <v>24</v>
      </c>
      <c r="AD100" s="371">
        <v>5.6186500000000006</v>
      </c>
      <c r="AE100" s="122">
        <v>117</v>
      </c>
      <c r="AF100" s="123" t="s">
        <v>157</v>
      </c>
      <c r="AG100" s="163">
        <v>118</v>
      </c>
      <c r="AH100" s="125">
        <v>24</v>
      </c>
      <c r="AI100" s="371">
        <v>5.6186500000000006</v>
      </c>
      <c r="AJ100" s="126">
        <v>117</v>
      </c>
      <c r="AK100" s="123" t="s">
        <v>157</v>
      </c>
      <c r="AL100" s="163">
        <v>118</v>
      </c>
      <c r="AM100" s="125">
        <v>24</v>
      </c>
      <c r="AN100" s="371">
        <v>5.6186500000000006</v>
      </c>
      <c r="AO100" s="126">
        <v>117</v>
      </c>
      <c r="AP100" s="123" t="s">
        <v>157</v>
      </c>
      <c r="AQ100" s="163">
        <v>118</v>
      </c>
      <c r="AR100" s="125">
        <v>24</v>
      </c>
      <c r="AS100" s="371">
        <v>5.6186500000000006</v>
      </c>
    </row>
    <row r="101" spans="1:45" x14ac:dyDescent="0.25">
      <c r="A101" s="51" t="s">
        <v>182</v>
      </c>
      <c r="B101" s="117">
        <v>123</v>
      </c>
      <c r="C101" s="118">
        <v>882</v>
      </c>
      <c r="D101" s="119">
        <v>24.1</v>
      </c>
      <c r="E101" s="120">
        <v>0.85499999999999998</v>
      </c>
      <c r="F101" s="120" t="s">
        <v>512</v>
      </c>
      <c r="G101" s="120">
        <v>14.772239928683094</v>
      </c>
      <c r="H101" s="121">
        <v>24</v>
      </c>
      <c r="I101" s="343">
        <v>6.426000000000001</v>
      </c>
      <c r="J101" s="121">
        <f t="shared" si="11"/>
        <v>82</v>
      </c>
      <c r="K101" s="125"/>
      <c r="L101" s="166"/>
      <c r="M101" s="166"/>
      <c r="N101" s="166"/>
      <c r="O101" s="166"/>
      <c r="P101" s="155"/>
      <c r="Q101" s="166"/>
      <c r="R101" s="166"/>
      <c r="S101" s="166"/>
      <c r="T101" s="166"/>
      <c r="U101" s="154">
        <v>123</v>
      </c>
      <c r="V101" s="123" t="s">
        <v>141</v>
      </c>
      <c r="W101" s="163">
        <v>126</v>
      </c>
      <c r="X101" s="125">
        <v>24</v>
      </c>
      <c r="Y101" s="371">
        <v>6.6892999999999994</v>
      </c>
      <c r="Z101" s="126">
        <v>118</v>
      </c>
      <c r="AA101" s="59" t="s">
        <v>182</v>
      </c>
      <c r="AB101" s="27">
        <v>123</v>
      </c>
      <c r="AC101" s="125">
        <v>24</v>
      </c>
      <c r="AD101" s="371">
        <v>6.426000000000001</v>
      </c>
      <c r="AE101" s="122">
        <v>118</v>
      </c>
      <c r="AF101" s="59" t="s">
        <v>182</v>
      </c>
      <c r="AG101" s="27">
        <v>123</v>
      </c>
      <c r="AH101" s="125">
        <v>24</v>
      </c>
      <c r="AI101" s="371">
        <v>6.426000000000001</v>
      </c>
      <c r="AJ101" s="126">
        <v>118</v>
      </c>
      <c r="AK101" s="59" t="s">
        <v>182</v>
      </c>
      <c r="AL101" s="27">
        <v>123</v>
      </c>
      <c r="AM101" s="125">
        <v>24</v>
      </c>
      <c r="AN101" s="371">
        <v>6.426000000000001</v>
      </c>
      <c r="AO101" s="126">
        <v>118</v>
      </c>
      <c r="AP101" s="59" t="s">
        <v>182</v>
      </c>
      <c r="AQ101" s="27">
        <v>123</v>
      </c>
      <c r="AR101" s="125">
        <v>24</v>
      </c>
      <c r="AS101" s="371">
        <v>6.426000000000001</v>
      </c>
    </row>
    <row r="102" spans="1:45" x14ac:dyDescent="0.25">
      <c r="A102" s="51" t="s">
        <v>183</v>
      </c>
      <c r="B102" s="117">
        <v>143</v>
      </c>
      <c r="C102" s="118">
        <v>999</v>
      </c>
      <c r="D102" s="119">
        <v>26.5</v>
      </c>
      <c r="E102" s="120">
        <v>0.71</v>
      </c>
      <c r="F102" s="120" t="s">
        <v>512</v>
      </c>
      <c r="G102" s="120">
        <v>17.0524906397854</v>
      </c>
      <c r="H102" s="121">
        <v>30</v>
      </c>
      <c r="I102" s="343">
        <v>5.5439999999999996</v>
      </c>
      <c r="J102" s="121">
        <f t="shared" si="11"/>
        <v>90</v>
      </c>
      <c r="K102" s="125"/>
      <c r="L102" s="166"/>
      <c r="M102" s="166"/>
      <c r="N102" s="166"/>
      <c r="O102" s="166"/>
      <c r="P102" s="155"/>
      <c r="Q102" s="166"/>
      <c r="R102" s="166"/>
      <c r="S102" s="166"/>
      <c r="T102" s="166"/>
      <c r="U102" s="154">
        <v>126</v>
      </c>
      <c r="V102" s="59" t="s">
        <v>225</v>
      </c>
      <c r="W102" s="27">
        <v>127</v>
      </c>
      <c r="X102" s="125">
        <v>30</v>
      </c>
      <c r="Y102" s="371">
        <v>8.3407499999999981</v>
      </c>
      <c r="Z102" s="126">
        <v>123</v>
      </c>
      <c r="AA102" s="123" t="s">
        <v>141</v>
      </c>
      <c r="AB102" s="163">
        <v>126</v>
      </c>
      <c r="AC102" s="125">
        <v>24</v>
      </c>
      <c r="AD102" s="371">
        <v>6.6892999999999994</v>
      </c>
      <c r="AE102" s="122">
        <v>123</v>
      </c>
      <c r="AF102" s="123" t="s">
        <v>141</v>
      </c>
      <c r="AG102" s="163">
        <v>126</v>
      </c>
      <c r="AH102" s="125">
        <v>24</v>
      </c>
      <c r="AI102" s="371">
        <v>6.6892999999999994</v>
      </c>
      <c r="AJ102" s="126">
        <v>123</v>
      </c>
      <c r="AK102" s="123" t="s">
        <v>141</v>
      </c>
      <c r="AL102" s="163">
        <v>126</v>
      </c>
      <c r="AM102" s="125">
        <v>24</v>
      </c>
      <c r="AN102" s="371">
        <v>6.6892999999999994</v>
      </c>
      <c r="AO102" s="126">
        <v>123</v>
      </c>
      <c r="AP102" s="123" t="s">
        <v>141</v>
      </c>
      <c r="AQ102" s="163">
        <v>126</v>
      </c>
      <c r="AR102" s="125">
        <v>24</v>
      </c>
      <c r="AS102" s="371">
        <v>6.6892999999999994</v>
      </c>
    </row>
    <row r="103" spans="1:45" x14ac:dyDescent="0.25">
      <c r="A103" s="51" t="s">
        <v>184</v>
      </c>
      <c r="B103" s="117">
        <v>157</v>
      </c>
      <c r="C103" s="118">
        <v>1110</v>
      </c>
      <c r="D103" s="119">
        <v>29.1</v>
      </c>
      <c r="E103" s="120">
        <v>0.78</v>
      </c>
      <c r="F103" s="120" t="s">
        <v>512</v>
      </c>
      <c r="G103" s="120">
        <v>17.147166769413548</v>
      </c>
      <c r="H103" s="121">
        <v>30</v>
      </c>
      <c r="I103" s="343">
        <v>6.1109999999999998</v>
      </c>
      <c r="J103" s="121">
        <f t="shared" si="11"/>
        <v>99</v>
      </c>
      <c r="K103" s="161"/>
      <c r="L103" s="166"/>
      <c r="M103" s="166"/>
      <c r="N103" s="166"/>
      <c r="O103" s="166"/>
      <c r="P103" s="155"/>
      <c r="Q103" s="166"/>
      <c r="R103" s="166"/>
      <c r="S103" s="166"/>
      <c r="T103" s="166"/>
      <c r="U103" s="154">
        <v>127</v>
      </c>
      <c r="V103" s="159" t="s">
        <v>244</v>
      </c>
      <c r="W103" s="160">
        <v>127</v>
      </c>
      <c r="X103" s="161">
        <v>30</v>
      </c>
      <c r="Y103" s="371">
        <v>7.9039999999999999</v>
      </c>
      <c r="Z103" s="126">
        <v>126</v>
      </c>
      <c r="AA103" s="59" t="s">
        <v>225</v>
      </c>
      <c r="AB103" s="27">
        <v>127</v>
      </c>
      <c r="AC103" s="125">
        <v>30</v>
      </c>
      <c r="AD103" s="371">
        <v>8.3407499999999981</v>
      </c>
      <c r="AE103" s="122">
        <v>126</v>
      </c>
      <c r="AF103" s="59" t="s">
        <v>225</v>
      </c>
      <c r="AG103" s="27">
        <v>127</v>
      </c>
      <c r="AH103" s="125">
        <v>30</v>
      </c>
      <c r="AI103" s="371">
        <v>8.3407499999999981</v>
      </c>
      <c r="AJ103" s="126">
        <v>126</v>
      </c>
      <c r="AK103" s="59" t="s">
        <v>225</v>
      </c>
      <c r="AL103" s="27">
        <v>127</v>
      </c>
      <c r="AM103" s="125">
        <v>30</v>
      </c>
      <c r="AN103" s="371">
        <v>8.3407499999999981</v>
      </c>
      <c r="AO103" s="126">
        <v>126</v>
      </c>
      <c r="AP103" s="59" t="s">
        <v>225</v>
      </c>
      <c r="AQ103" s="27">
        <v>127</v>
      </c>
      <c r="AR103" s="125">
        <v>30</v>
      </c>
      <c r="AS103" s="371">
        <v>8.3407499999999981</v>
      </c>
    </row>
    <row r="104" spans="1:45" x14ac:dyDescent="0.25">
      <c r="A104" s="51" t="s">
        <v>185</v>
      </c>
      <c r="B104" s="117">
        <v>173</v>
      </c>
      <c r="C104" s="118">
        <v>1240</v>
      </c>
      <c r="D104" s="119">
        <v>32</v>
      </c>
      <c r="E104" s="120">
        <v>0.86</v>
      </c>
      <c r="F104" s="120" t="s">
        <v>512</v>
      </c>
      <c r="G104" s="120">
        <v>17.255803356983975</v>
      </c>
      <c r="H104" s="121">
        <v>30</v>
      </c>
      <c r="I104" s="343">
        <v>6.6150000000000002</v>
      </c>
      <c r="J104" s="121">
        <f t="shared" si="11"/>
        <v>109</v>
      </c>
      <c r="K104" s="125"/>
      <c r="L104" s="166"/>
      <c r="M104" s="166"/>
      <c r="N104" s="166"/>
      <c r="O104" s="166"/>
      <c r="P104" s="155"/>
      <c r="Q104" s="166"/>
      <c r="R104" s="166"/>
      <c r="S104" s="166"/>
      <c r="T104" s="166"/>
      <c r="U104" s="154">
        <v>127</v>
      </c>
      <c r="V104" s="123" t="s">
        <v>158</v>
      </c>
      <c r="W104" s="163">
        <v>131</v>
      </c>
      <c r="X104" s="125">
        <v>24</v>
      </c>
      <c r="Y104" s="371">
        <v>6.0005000000000006</v>
      </c>
      <c r="Z104" s="126">
        <v>127</v>
      </c>
      <c r="AA104" s="159" t="s">
        <v>244</v>
      </c>
      <c r="AB104" s="160">
        <v>127</v>
      </c>
      <c r="AC104" s="161">
        <v>30</v>
      </c>
      <c r="AD104" s="371">
        <v>7.9039999999999999</v>
      </c>
      <c r="AE104" s="122">
        <v>127</v>
      </c>
      <c r="AF104" s="159" t="s">
        <v>244</v>
      </c>
      <c r="AG104" s="160">
        <v>127</v>
      </c>
      <c r="AH104" s="161">
        <v>30</v>
      </c>
      <c r="AI104" s="371">
        <v>7.9039999999999999</v>
      </c>
      <c r="AJ104" s="126">
        <v>127</v>
      </c>
      <c r="AK104" s="159" t="s">
        <v>244</v>
      </c>
      <c r="AL104" s="160">
        <v>127</v>
      </c>
      <c r="AM104" s="161">
        <v>30</v>
      </c>
      <c r="AN104" s="371">
        <v>7.9039999999999999</v>
      </c>
      <c r="AO104" s="126">
        <v>127</v>
      </c>
      <c r="AP104" s="159" t="s">
        <v>244</v>
      </c>
      <c r="AQ104" s="160">
        <v>127</v>
      </c>
      <c r="AR104" s="161">
        <v>30</v>
      </c>
      <c r="AS104" s="371">
        <v>7.9039999999999999</v>
      </c>
    </row>
    <row r="105" spans="1:45" x14ac:dyDescent="0.25">
      <c r="A105" s="51" t="s">
        <v>186</v>
      </c>
      <c r="B105" s="117">
        <v>190</v>
      </c>
      <c r="C105" s="118">
        <v>1380</v>
      </c>
      <c r="D105" s="119">
        <v>35.299999999999997</v>
      </c>
      <c r="E105" s="120">
        <v>0.94</v>
      </c>
      <c r="F105" s="120" t="s">
        <v>512</v>
      </c>
      <c r="G105" s="120">
        <v>17.407035599721148</v>
      </c>
      <c r="H105" s="121">
        <v>30</v>
      </c>
      <c r="I105" s="343">
        <v>7.4340000000000002</v>
      </c>
      <c r="J105" s="121">
        <f t="shared" si="11"/>
        <v>120</v>
      </c>
      <c r="K105" s="125"/>
      <c r="L105" s="166"/>
      <c r="M105" s="166"/>
      <c r="N105" s="166"/>
      <c r="O105" s="166"/>
      <c r="P105" s="155"/>
      <c r="Q105" s="166"/>
      <c r="R105" s="166"/>
      <c r="S105" s="166"/>
      <c r="T105" s="166"/>
      <c r="U105" s="154">
        <v>131</v>
      </c>
      <c r="V105" s="59" t="s">
        <v>99</v>
      </c>
      <c r="W105" s="27">
        <v>131</v>
      </c>
      <c r="X105" s="125">
        <v>30</v>
      </c>
      <c r="Y105" s="371">
        <v>7.7489999999999997</v>
      </c>
      <c r="Z105" s="126">
        <v>127</v>
      </c>
      <c r="AA105" s="123" t="s">
        <v>158</v>
      </c>
      <c r="AB105" s="163">
        <v>131</v>
      </c>
      <c r="AC105" s="125">
        <v>24</v>
      </c>
      <c r="AD105" s="371">
        <v>6.0005000000000006</v>
      </c>
      <c r="AE105" s="122">
        <v>127</v>
      </c>
      <c r="AF105" s="123" t="s">
        <v>158</v>
      </c>
      <c r="AG105" s="163">
        <v>131</v>
      </c>
      <c r="AH105" s="125">
        <v>24</v>
      </c>
      <c r="AI105" s="371">
        <v>6.0005000000000006</v>
      </c>
      <c r="AJ105" s="126">
        <v>127</v>
      </c>
      <c r="AK105" s="123" t="s">
        <v>158</v>
      </c>
      <c r="AL105" s="163">
        <v>131</v>
      </c>
      <c r="AM105" s="125">
        <v>24</v>
      </c>
      <c r="AN105" s="371">
        <v>7.7489999999999997</v>
      </c>
      <c r="AO105" s="126">
        <v>127</v>
      </c>
      <c r="AP105" s="123" t="s">
        <v>158</v>
      </c>
      <c r="AQ105" s="163">
        <v>131</v>
      </c>
      <c r="AR105" s="125">
        <v>24</v>
      </c>
      <c r="AS105" s="371">
        <v>7.7489999999999997</v>
      </c>
    </row>
    <row r="106" spans="1:45" x14ac:dyDescent="0.25">
      <c r="A106" s="51" t="s">
        <v>187</v>
      </c>
      <c r="B106" s="117">
        <v>209</v>
      </c>
      <c r="C106" s="118">
        <v>1530</v>
      </c>
      <c r="D106" s="119">
        <v>38.799999999999997</v>
      </c>
      <c r="E106" s="120">
        <v>1.03</v>
      </c>
      <c r="F106" s="120" t="s">
        <v>512</v>
      </c>
      <c r="G106" s="120">
        <v>17.564466531645206</v>
      </c>
      <c r="H106" s="121">
        <v>30</v>
      </c>
      <c r="I106" s="343">
        <v>8.1270000000000007</v>
      </c>
      <c r="J106" s="121">
        <f t="shared" si="11"/>
        <v>132</v>
      </c>
      <c r="K106" s="125"/>
      <c r="L106" s="166"/>
      <c r="M106" s="166"/>
      <c r="N106" s="166"/>
      <c r="O106" s="166"/>
      <c r="P106" s="155"/>
      <c r="Q106" s="166"/>
      <c r="R106" s="166"/>
      <c r="S106" s="166"/>
      <c r="T106" s="166"/>
      <c r="U106" s="154">
        <v>131</v>
      </c>
      <c r="V106" s="59" t="s">
        <v>215</v>
      </c>
      <c r="W106" s="27">
        <v>134</v>
      </c>
      <c r="X106" s="125">
        <v>30</v>
      </c>
      <c r="Y106" s="371">
        <v>6.8250000000000002</v>
      </c>
      <c r="Z106" s="126">
        <v>131</v>
      </c>
      <c r="AA106" s="59" t="s">
        <v>99</v>
      </c>
      <c r="AB106" s="27">
        <v>131</v>
      </c>
      <c r="AC106" s="125">
        <v>30</v>
      </c>
      <c r="AD106" s="371">
        <v>7.7489999999999997</v>
      </c>
      <c r="AE106" s="122">
        <v>131</v>
      </c>
      <c r="AF106" s="59" t="s">
        <v>99</v>
      </c>
      <c r="AG106" s="27">
        <v>131</v>
      </c>
      <c r="AH106" s="125">
        <v>30</v>
      </c>
      <c r="AI106" s="371">
        <v>7.7489999999999997</v>
      </c>
      <c r="AJ106" s="126">
        <v>131</v>
      </c>
      <c r="AK106" s="59" t="s">
        <v>99</v>
      </c>
      <c r="AL106" s="27">
        <v>131</v>
      </c>
      <c r="AM106" s="125">
        <v>30</v>
      </c>
      <c r="AN106" s="371">
        <v>6.0005000000000006</v>
      </c>
      <c r="AO106" s="126">
        <v>131</v>
      </c>
      <c r="AP106" s="59" t="s">
        <v>99</v>
      </c>
      <c r="AQ106" s="27">
        <v>131</v>
      </c>
      <c r="AR106" s="125">
        <v>30</v>
      </c>
      <c r="AS106" s="371">
        <v>6.0005000000000006</v>
      </c>
    </row>
    <row r="107" spans="1:45" x14ac:dyDescent="0.25">
      <c r="A107" s="51" t="s">
        <v>188</v>
      </c>
      <c r="B107" s="117">
        <v>232</v>
      </c>
      <c r="C107" s="118">
        <v>1710</v>
      </c>
      <c r="D107" s="119">
        <v>42.7</v>
      </c>
      <c r="E107" s="120">
        <v>1.0900000000000001</v>
      </c>
      <c r="F107" s="120" t="s">
        <v>512</v>
      </c>
      <c r="G107" s="120">
        <v>18.038179425496203</v>
      </c>
      <c r="H107" s="121">
        <v>30</v>
      </c>
      <c r="I107" s="343">
        <v>8.5679999999999996</v>
      </c>
      <c r="J107" s="121">
        <f t="shared" si="11"/>
        <v>145</v>
      </c>
      <c r="K107" s="161"/>
      <c r="L107" s="166"/>
      <c r="M107" s="166"/>
      <c r="N107" s="166"/>
      <c r="O107" s="166"/>
      <c r="P107" s="155"/>
      <c r="Q107" s="166"/>
      <c r="R107" s="166"/>
      <c r="S107" s="166"/>
      <c r="T107" s="166"/>
      <c r="U107" s="154">
        <v>134</v>
      </c>
      <c r="V107" s="123" t="s">
        <v>97</v>
      </c>
      <c r="W107" s="27">
        <v>135</v>
      </c>
      <c r="X107" s="125">
        <v>30</v>
      </c>
      <c r="Y107" s="371">
        <v>8.8893000000000004</v>
      </c>
      <c r="Z107" s="126">
        <v>131</v>
      </c>
      <c r="AA107" s="159" t="s">
        <v>256</v>
      </c>
      <c r="AB107" s="160">
        <v>131</v>
      </c>
      <c r="AC107" s="161">
        <v>36</v>
      </c>
      <c r="AD107" s="371">
        <v>9.7007999999999992</v>
      </c>
      <c r="AE107" s="122">
        <v>131</v>
      </c>
      <c r="AF107" s="159" t="s">
        <v>256</v>
      </c>
      <c r="AG107" s="160">
        <v>131</v>
      </c>
      <c r="AH107" s="161">
        <v>36</v>
      </c>
      <c r="AI107" s="371">
        <v>9.7007999999999992</v>
      </c>
      <c r="AJ107" s="126">
        <v>131</v>
      </c>
      <c r="AK107" s="159" t="s">
        <v>256</v>
      </c>
      <c r="AL107" s="160">
        <v>131</v>
      </c>
      <c r="AM107" s="161">
        <v>36</v>
      </c>
      <c r="AN107" s="371">
        <v>9.7007999999999992</v>
      </c>
      <c r="AO107" s="126">
        <v>131</v>
      </c>
      <c r="AP107" s="159" t="s">
        <v>256</v>
      </c>
      <c r="AQ107" s="160">
        <v>131</v>
      </c>
      <c r="AR107" s="161">
        <v>36</v>
      </c>
      <c r="AS107" s="371">
        <v>9.7007999999999992</v>
      </c>
    </row>
    <row r="108" spans="1:45" x14ac:dyDescent="0.25">
      <c r="A108" s="51" t="s">
        <v>189</v>
      </c>
      <c r="B108" s="117">
        <v>254</v>
      </c>
      <c r="C108" s="118">
        <v>1900</v>
      </c>
      <c r="D108" s="119">
        <v>46.7</v>
      </c>
      <c r="E108" s="120">
        <v>1.19</v>
      </c>
      <c r="F108" s="120" t="s">
        <v>512</v>
      </c>
      <c r="G108" s="120">
        <v>18.20062336973918</v>
      </c>
      <c r="H108" s="121">
        <v>30</v>
      </c>
      <c r="I108" s="343">
        <v>9.3870000000000005</v>
      </c>
      <c r="J108" s="121">
        <f t="shared" si="11"/>
        <v>159</v>
      </c>
      <c r="K108" s="125"/>
      <c r="L108" s="166"/>
      <c r="M108" s="166"/>
      <c r="N108" s="166"/>
      <c r="O108" s="166"/>
      <c r="P108" s="155"/>
      <c r="Q108" s="166"/>
      <c r="R108" s="166"/>
      <c r="S108" s="166"/>
      <c r="T108" s="166"/>
      <c r="U108" s="154">
        <v>135</v>
      </c>
      <c r="V108" s="159" t="s">
        <v>245</v>
      </c>
      <c r="W108" s="160">
        <v>140</v>
      </c>
      <c r="X108" s="161">
        <v>30</v>
      </c>
      <c r="Y108" s="371">
        <v>8.4967999999999986</v>
      </c>
      <c r="Z108" s="126">
        <v>131</v>
      </c>
      <c r="AA108" s="59" t="s">
        <v>215</v>
      </c>
      <c r="AB108" s="27">
        <v>134</v>
      </c>
      <c r="AC108" s="125">
        <v>30</v>
      </c>
      <c r="AD108" s="371">
        <v>6.8250000000000002</v>
      </c>
      <c r="AE108" s="122">
        <v>131</v>
      </c>
      <c r="AF108" s="59" t="s">
        <v>215</v>
      </c>
      <c r="AG108" s="27">
        <v>134</v>
      </c>
      <c r="AH108" s="125">
        <v>30</v>
      </c>
      <c r="AI108" s="371">
        <v>6.8250000000000002</v>
      </c>
      <c r="AJ108" s="126">
        <v>131</v>
      </c>
      <c r="AK108" s="59" t="s">
        <v>215</v>
      </c>
      <c r="AL108" s="27">
        <v>134</v>
      </c>
      <c r="AM108" s="125">
        <v>30</v>
      </c>
      <c r="AN108" s="371">
        <v>6.8250000000000002</v>
      </c>
      <c r="AO108" s="126">
        <v>131</v>
      </c>
      <c r="AP108" s="59" t="s">
        <v>215</v>
      </c>
      <c r="AQ108" s="27">
        <v>134</v>
      </c>
      <c r="AR108" s="125">
        <v>30</v>
      </c>
      <c r="AS108" s="371">
        <v>6.8250000000000002</v>
      </c>
    </row>
    <row r="109" spans="1:45" x14ac:dyDescent="0.25">
      <c r="A109" s="51" t="s">
        <v>190</v>
      </c>
      <c r="B109" s="117">
        <v>281</v>
      </c>
      <c r="C109" s="118">
        <v>2140</v>
      </c>
      <c r="D109" s="119">
        <v>51.8</v>
      </c>
      <c r="E109" s="120">
        <v>1.31</v>
      </c>
      <c r="F109" s="120" t="s">
        <v>512</v>
      </c>
      <c r="G109" s="120">
        <v>18.407462290249477</v>
      </c>
      <c r="H109" s="121">
        <v>30</v>
      </c>
      <c r="I109" s="343">
        <v>10.458</v>
      </c>
      <c r="J109" s="121">
        <f t="shared" si="11"/>
        <v>176</v>
      </c>
      <c r="K109" s="125"/>
      <c r="L109" s="166"/>
      <c r="M109" s="166"/>
      <c r="N109" s="166"/>
      <c r="O109" s="166"/>
      <c r="P109" s="155"/>
      <c r="Q109" s="166"/>
      <c r="R109" s="166"/>
      <c r="S109" s="166"/>
      <c r="T109" s="166"/>
      <c r="U109" s="154">
        <v>140</v>
      </c>
      <c r="V109" s="59" t="s">
        <v>183</v>
      </c>
      <c r="W109" s="27">
        <v>143</v>
      </c>
      <c r="X109" s="125">
        <v>30</v>
      </c>
      <c r="Y109" s="371">
        <v>5.5439999999999996</v>
      </c>
      <c r="Z109" s="126">
        <v>134</v>
      </c>
      <c r="AA109" s="123" t="s">
        <v>97</v>
      </c>
      <c r="AB109" s="27">
        <v>135</v>
      </c>
      <c r="AC109" s="125">
        <v>30</v>
      </c>
      <c r="AD109" s="371">
        <v>8.8893000000000004</v>
      </c>
      <c r="AE109" s="122">
        <v>134</v>
      </c>
      <c r="AF109" s="123" t="s">
        <v>97</v>
      </c>
      <c r="AG109" s="27">
        <v>135</v>
      </c>
      <c r="AH109" s="125">
        <v>30</v>
      </c>
      <c r="AI109" s="371">
        <v>8.8893000000000004</v>
      </c>
      <c r="AJ109" s="126">
        <v>134</v>
      </c>
      <c r="AK109" s="123" t="s">
        <v>97</v>
      </c>
      <c r="AL109" s="27">
        <v>135</v>
      </c>
      <c r="AM109" s="125">
        <v>30</v>
      </c>
      <c r="AN109" s="371">
        <v>8.8893000000000004</v>
      </c>
      <c r="AO109" s="126">
        <v>134</v>
      </c>
      <c r="AP109" s="123" t="s">
        <v>97</v>
      </c>
      <c r="AQ109" s="27">
        <v>135</v>
      </c>
      <c r="AR109" s="125">
        <v>30</v>
      </c>
      <c r="AS109" s="371">
        <v>8.8893000000000004</v>
      </c>
    </row>
    <row r="110" spans="1:45" x14ac:dyDescent="0.25">
      <c r="A110" s="51" t="s">
        <v>191</v>
      </c>
      <c r="B110" s="117">
        <v>310</v>
      </c>
      <c r="C110" s="118">
        <v>2400</v>
      </c>
      <c r="D110" s="119">
        <v>56.8</v>
      </c>
      <c r="E110" s="120">
        <v>1.44</v>
      </c>
      <c r="F110" s="120" t="s">
        <v>512</v>
      </c>
      <c r="G110" s="120">
        <v>18.615730133055315</v>
      </c>
      <c r="H110" s="121">
        <v>30</v>
      </c>
      <c r="I110" s="343">
        <v>11.214000000000002</v>
      </c>
      <c r="J110" s="121">
        <f t="shared" si="11"/>
        <v>193</v>
      </c>
      <c r="K110" s="125"/>
      <c r="L110" s="166"/>
      <c r="M110" s="166"/>
      <c r="N110" s="166"/>
      <c r="O110" s="166"/>
      <c r="P110" s="155"/>
      <c r="Q110" s="166"/>
      <c r="R110" s="166"/>
      <c r="S110" s="166"/>
      <c r="T110" s="166"/>
      <c r="U110" s="154">
        <v>143</v>
      </c>
      <c r="V110" s="123" t="s">
        <v>159</v>
      </c>
      <c r="W110" s="163">
        <v>145</v>
      </c>
      <c r="X110" s="125">
        <v>24</v>
      </c>
      <c r="Y110" s="371">
        <v>6.6551</v>
      </c>
      <c r="Z110" s="126">
        <v>135</v>
      </c>
      <c r="AA110" s="159" t="s">
        <v>245</v>
      </c>
      <c r="AB110" s="160">
        <v>140</v>
      </c>
      <c r="AC110" s="161">
        <v>30</v>
      </c>
      <c r="AD110" s="371">
        <v>8.4967999999999986</v>
      </c>
      <c r="AE110" s="122">
        <v>135</v>
      </c>
      <c r="AF110" s="159" t="s">
        <v>245</v>
      </c>
      <c r="AG110" s="160">
        <v>140</v>
      </c>
      <c r="AH110" s="161">
        <v>30</v>
      </c>
      <c r="AI110" s="371">
        <v>8.4967999999999986</v>
      </c>
      <c r="AJ110" s="126">
        <v>135</v>
      </c>
      <c r="AK110" s="159" t="s">
        <v>245</v>
      </c>
      <c r="AL110" s="160">
        <v>140</v>
      </c>
      <c r="AM110" s="161">
        <v>30</v>
      </c>
      <c r="AN110" s="371">
        <v>8.4967999999999986</v>
      </c>
      <c r="AO110" s="126">
        <v>135</v>
      </c>
      <c r="AP110" s="159" t="s">
        <v>245</v>
      </c>
      <c r="AQ110" s="160">
        <v>140</v>
      </c>
      <c r="AR110" s="161">
        <v>30</v>
      </c>
      <c r="AS110" s="371">
        <v>8.4967999999999986</v>
      </c>
    </row>
    <row r="111" spans="1:45" x14ac:dyDescent="0.25">
      <c r="A111" s="51" t="s">
        <v>192</v>
      </c>
      <c r="B111" s="117">
        <v>338</v>
      </c>
      <c r="C111" s="118">
        <v>2660</v>
      </c>
      <c r="D111" s="119">
        <v>62</v>
      </c>
      <c r="E111" s="120">
        <v>1.56</v>
      </c>
      <c r="F111" s="120" t="s">
        <v>512</v>
      </c>
      <c r="G111" s="120">
        <v>18.832783261424755</v>
      </c>
      <c r="H111" s="121">
        <v>30</v>
      </c>
      <c r="I111" s="343">
        <v>12.348000000000001</v>
      </c>
      <c r="J111" s="121">
        <f t="shared" si="11"/>
        <v>211</v>
      </c>
      <c r="K111" s="125"/>
      <c r="L111" s="166"/>
      <c r="M111" s="166"/>
      <c r="N111" s="166"/>
      <c r="O111" s="166"/>
      <c r="P111" s="155"/>
      <c r="Q111" s="166"/>
      <c r="R111" s="166"/>
      <c r="S111" s="166"/>
      <c r="T111" s="166"/>
      <c r="U111" s="154">
        <v>145</v>
      </c>
      <c r="V111" s="59" t="s">
        <v>226</v>
      </c>
      <c r="W111" s="27">
        <v>146</v>
      </c>
      <c r="X111" s="125">
        <v>30</v>
      </c>
      <c r="Y111" s="371">
        <v>7.1612500000000008</v>
      </c>
      <c r="Z111" s="126">
        <v>140</v>
      </c>
      <c r="AA111" s="59" t="s">
        <v>183</v>
      </c>
      <c r="AB111" s="27">
        <v>143</v>
      </c>
      <c r="AC111" s="125">
        <v>30</v>
      </c>
      <c r="AD111" s="371">
        <v>5.5439999999999996</v>
      </c>
      <c r="AE111" s="122">
        <v>140</v>
      </c>
      <c r="AF111" s="59" t="s">
        <v>183</v>
      </c>
      <c r="AG111" s="27">
        <v>143</v>
      </c>
      <c r="AH111" s="125">
        <v>30</v>
      </c>
      <c r="AI111" s="371">
        <v>5.5439999999999996</v>
      </c>
      <c r="AJ111" s="126">
        <v>140</v>
      </c>
      <c r="AK111" s="59" t="s">
        <v>183</v>
      </c>
      <c r="AL111" s="27">
        <v>143</v>
      </c>
      <c r="AM111" s="125">
        <v>30</v>
      </c>
      <c r="AN111" s="371">
        <v>5.5439999999999996</v>
      </c>
      <c r="AO111" s="126">
        <v>140</v>
      </c>
      <c r="AP111" s="59" t="s">
        <v>183</v>
      </c>
      <c r="AQ111" s="27">
        <v>143</v>
      </c>
      <c r="AR111" s="125">
        <v>30</v>
      </c>
      <c r="AS111" s="371">
        <v>5.5439999999999996</v>
      </c>
    </row>
    <row r="112" spans="1:45" x14ac:dyDescent="0.25">
      <c r="A112" s="51" t="s">
        <v>193</v>
      </c>
      <c r="B112" s="117">
        <v>375</v>
      </c>
      <c r="C112" s="118">
        <v>3010</v>
      </c>
      <c r="D112" s="119">
        <v>68.5</v>
      </c>
      <c r="E112" s="120">
        <v>1.72</v>
      </c>
      <c r="F112" s="120" t="s">
        <v>512</v>
      </c>
      <c r="G112" s="120">
        <v>19.101212900929024</v>
      </c>
      <c r="H112" s="121">
        <v>30</v>
      </c>
      <c r="I112" s="343">
        <v>13.482000000000001</v>
      </c>
      <c r="J112" s="121">
        <f t="shared" si="11"/>
        <v>233</v>
      </c>
      <c r="K112" s="125"/>
      <c r="L112" s="166"/>
      <c r="M112" s="166"/>
      <c r="N112" s="166"/>
      <c r="O112" s="166"/>
      <c r="P112" s="155"/>
      <c r="Q112" s="166"/>
      <c r="R112" s="166"/>
      <c r="S112" s="166"/>
      <c r="T112" s="166"/>
      <c r="U112" s="154">
        <v>146</v>
      </c>
      <c r="V112" s="123" t="s">
        <v>100</v>
      </c>
      <c r="W112" s="27">
        <v>150</v>
      </c>
      <c r="X112" s="125">
        <v>30</v>
      </c>
      <c r="Y112" s="371">
        <v>8.8829999999999991</v>
      </c>
      <c r="Z112" s="126">
        <v>143</v>
      </c>
      <c r="AA112" s="123" t="s">
        <v>159</v>
      </c>
      <c r="AB112" s="163">
        <v>145</v>
      </c>
      <c r="AC112" s="125">
        <v>24</v>
      </c>
      <c r="AD112" s="371">
        <v>6.6551</v>
      </c>
      <c r="AE112" s="122">
        <v>143</v>
      </c>
      <c r="AF112" s="123" t="s">
        <v>159</v>
      </c>
      <c r="AG112" s="163">
        <v>145</v>
      </c>
      <c r="AH112" s="125">
        <v>24</v>
      </c>
      <c r="AI112" s="371">
        <v>6.6551</v>
      </c>
      <c r="AJ112" s="126">
        <v>143</v>
      </c>
      <c r="AK112" s="123" t="s">
        <v>159</v>
      </c>
      <c r="AL112" s="163">
        <v>145</v>
      </c>
      <c r="AM112" s="125">
        <v>24</v>
      </c>
      <c r="AN112" s="371">
        <v>6.6551</v>
      </c>
      <c r="AO112" s="126">
        <v>143</v>
      </c>
      <c r="AP112" s="123" t="s">
        <v>159</v>
      </c>
      <c r="AQ112" s="163">
        <v>145</v>
      </c>
      <c r="AR112" s="125">
        <v>24</v>
      </c>
      <c r="AS112" s="371">
        <v>6.6551</v>
      </c>
    </row>
    <row r="113" spans="1:45" x14ac:dyDescent="0.25">
      <c r="A113" s="51" t="s">
        <v>194</v>
      </c>
      <c r="B113" s="117">
        <v>415</v>
      </c>
      <c r="C113" s="118">
        <v>3400</v>
      </c>
      <c r="D113" s="119">
        <v>75.599999999999994</v>
      </c>
      <c r="E113" s="120">
        <v>1.89</v>
      </c>
      <c r="F113" s="120" t="s">
        <v>512</v>
      </c>
      <c r="G113" s="120">
        <v>19.388493235902043</v>
      </c>
      <c r="H113" s="121">
        <v>30</v>
      </c>
      <c r="I113" s="343">
        <v>14.805</v>
      </c>
      <c r="J113" s="121">
        <f t="shared" si="11"/>
        <v>257</v>
      </c>
      <c r="K113" s="125"/>
      <c r="L113" s="166"/>
      <c r="M113" s="166"/>
      <c r="N113" s="166"/>
      <c r="O113" s="166"/>
      <c r="P113" s="155"/>
      <c r="Q113" s="166"/>
      <c r="R113" s="166"/>
      <c r="S113" s="166"/>
      <c r="T113" s="166"/>
      <c r="U113" s="154">
        <v>150</v>
      </c>
      <c r="V113" s="159" t="s">
        <v>246</v>
      </c>
      <c r="W113" s="160">
        <v>151</v>
      </c>
      <c r="X113" s="161">
        <v>30</v>
      </c>
      <c r="Y113" s="371">
        <v>8.9908000000000001</v>
      </c>
      <c r="Z113" s="126">
        <v>145</v>
      </c>
      <c r="AA113" s="59" t="s">
        <v>226</v>
      </c>
      <c r="AB113" s="27">
        <v>146</v>
      </c>
      <c r="AC113" s="125">
        <v>30</v>
      </c>
      <c r="AD113" s="371">
        <v>7.1612500000000008</v>
      </c>
      <c r="AE113" s="122">
        <v>145</v>
      </c>
      <c r="AF113" s="59" t="s">
        <v>226</v>
      </c>
      <c r="AG113" s="27">
        <v>146</v>
      </c>
      <c r="AH113" s="125">
        <v>30</v>
      </c>
      <c r="AI113" s="371">
        <v>7.1612500000000008</v>
      </c>
      <c r="AJ113" s="126">
        <v>145</v>
      </c>
      <c r="AK113" s="59" t="s">
        <v>226</v>
      </c>
      <c r="AL113" s="27">
        <v>146</v>
      </c>
      <c r="AM113" s="125">
        <v>30</v>
      </c>
      <c r="AN113" s="371">
        <v>7.1612500000000008</v>
      </c>
      <c r="AO113" s="126">
        <v>145</v>
      </c>
      <c r="AP113" s="59" t="s">
        <v>226</v>
      </c>
      <c r="AQ113" s="27">
        <v>146</v>
      </c>
      <c r="AR113" s="125">
        <v>30</v>
      </c>
      <c r="AS113" s="371">
        <v>7.1612500000000008</v>
      </c>
    </row>
    <row r="114" spans="1:45" x14ac:dyDescent="0.25">
      <c r="A114" s="51" t="s">
        <v>195</v>
      </c>
      <c r="B114" s="117">
        <v>459</v>
      </c>
      <c r="C114" s="118">
        <v>3840</v>
      </c>
      <c r="D114" s="119">
        <v>83.3</v>
      </c>
      <c r="E114" s="120">
        <v>2.0699999999999998</v>
      </c>
      <c r="F114" s="120" t="s">
        <v>512</v>
      </c>
      <c r="G114" s="120">
        <v>19.71004922774171</v>
      </c>
      <c r="H114" s="121">
        <v>30</v>
      </c>
      <c r="I114" s="343">
        <v>16.253999999999998</v>
      </c>
      <c r="J114" s="121">
        <f t="shared" si="11"/>
        <v>283</v>
      </c>
      <c r="K114" s="161"/>
      <c r="L114" s="166"/>
      <c r="M114" s="166"/>
      <c r="N114" s="166"/>
      <c r="O114" s="166"/>
      <c r="P114" s="155"/>
      <c r="Q114" s="166"/>
      <c r="R114" s="166"/>
      <c r="S114" s="166"/>
      <c r="T114" s="166"/>
      <c r="U114" s="154">
        <v>151</v>
      </c>
      <c r="V114" s="59" t="s">
        <v>216</v>
      </c>
      <c r="W114" s="27">
        <v>155</v>
      </c>
      <c r="X114" s="125">
        <v>30</v>
      </c>
      <c r="Y114" s="371">
        <v>7.875</v>
      </c>
      <c r="Z114" s="126">
        <v>146</v>
      </c>
      <c r="AA114" s="123" t="s">
        <v>100</v>
      </c>
      <c r="AB114" s="27">
        <v>150</v>
      </c>
      <c r="AC114" s="125">
        <v>30</v>
      </c>
      <c r="AD114" s="371">
        <v>8.8829999999999991</v>
      </c>
      <c r="AE114" s="122">
        <v>146</v>
      </c>
      <c r="AF114" s="123" t="s">
        <v>100</v>
      </c>
      <c r="AG114" s="27">
        <v>150</v>
      </c>
      <c r="AH114" s="125">
        <v>30</v>
      </c>
      <c r="AI114" s="371">
        <v>8.8829999999999991</v>
      </c>
      <c r="AJ114" s="126">
        <v>146</v>
      </c>
      <c r="AK114" s="123" t="s">
        <v>100</v>
      </c>
      <c r="AL114" s="27">
        <v>150</v>
      </c>
      <c r="AM114" s="125">
        <v>30</v>
      </c>
      <c r="AN114" s="371">
        <v>8.8829999999999991</v>
      </c>
      <c r="AO114" s="126">
        <v>146</v>
      </c>
      <c r="AP114" s="123" t="s">
        <v>100</v>
      </c>
      <c r="AQ114" s="27">
        <v>150</v>
      </c>
      <c r="AR114" s="125">
        <v>30</v>
      </c>
      <c r="AS114" s="371">
        <v>8.8829999999999991</v>
      </c>
    </row>
    <row r="115" spans="1:45" x14ac:dyDescent="0.25">
      <c r="A115" s="51" t="s">
        <v>196</v>
      </c>
      <c r="B115" s="117">
        <v>506</v>
      </c>
      <c r="C115" s="118">
        <v>4330</v>
      </c>
      <c r="D115" s="119">
        <v>91.4</v>
      </c>
      <c r="E115" s="120">
        <v>2.2599999999999998</v>
      </c>
      <c r="F115" s="120" t="s">
        <v>512</v>
      </c>
      <c r="G115" s="120">
        <v>20.041825040395441</v>
      </c>
      <c r="H115" s="121">
        <v>30</v>
      </c>
      <c r="I115" s="343">
        <v>17.766000000000002</v>
      </c>
      <c r="J115" s="121">
        <f t="shared" si="11"/>
        <v>311</v>
      </c>
      <c r="K115" s="125"/>
      <c r="L115" s="166"/>
      <c r="M115" s="166"/>
      <c r="N115" s="166"/>
      <c r="O115" s="166"/>
      <c r="P115" s="155"/>
      <c r="Q115" s="166"/>
      <c r="R115" s="166"/>
      <c r="S115" s="166"/>
      <c r="T115" s="166"/>
      <c r="U115" s="154">
        <v>155</v>
      </c>
      <c r="V115" s="59" t="s">
        <v>184</v>
      </c>
      <c r="W115" s="27">
        <v>157</v>
      </c>
      <c r="X115" s="125">
        <v>30</v>
      </c>
      <c r="Y115" s="371">
        <v>6.1109999999999998</v>
      </c>
      <c r="Z115" s="126">
        <v>150</v>
      </c>
      <c r="AA115" s="159" t="s">
        <v>246</v>
      </c>
      <c r="AB115" s="160">
        <v>151</v>
      </c>
      <c r="AC115" s="161">
        <v>30</v>
      </c>
      <c r="AD115" s="371">
        <v>8.9908000000000001</v>
      </c>
      <c r="AE115" s="122">
        <v>150</v>
      </c>
      <c r="AF115" s="159" t="s">
        <v>246</v>
      </c>
      <c r="AG115" s="160">
        <v>151</v>
      </c>
      <c r="AH115" s="161">
        <v>30</v>
      </c>
      <c r="AI115" s="371">
        <v>8.9908000000000001</v>
      </c>
      <c r="AJ115" s="126">
        <v>150</v>
      </c>
      <c r="AK115" s="159" t="s">
        <v>246</v>
      </c>
      <c r="AL115" s="160">
        <v>151</v>
      </c>
      <c r="AM115" s="161">
        <v>30</v>
      </c>
      <c r="AN115" s="371">
        <v>8.9908000000000001</v>
      </c>
      <c r="AO115" s="126">
        <v>150</v>
      </c>
      <c r="AP115" s="159" t="s">
        <v>246</v>
      </c>
      <c r="AQ115" s="160">
        <v>151</v>
      </c>
      <c r="AR115" s="161">
        <v>30</v>
      </c>
      <c r="AS115" s="371">
        <v>8.9908000000000001</v>
      </c>
    </row>
    <row r="116" spans="1:45" x14ac:dyDescent="0.25">
      <c r="A116" s="51" t="s">
        <v>197</v>
      </c>
      <c r="B116" s="117">
        <v>559</v>
      </c>
      <c r="C116" s="118">
        <v>4900</v>
      </c>
      <c r="D116" s="119">
        <v>101</v>
      </c>
      <c r="E116" s="120">
        <v>2.4700000000000002</v>
      </c>
      <c r="F116" s="120" t="s">
        <v>512</v>
      </c>
      <c r="G116" s="120">
        <v>20.406908931891461</v>
      </c>
      <c r="H116" s="121">
        <v>30</v>
      </c>
      <c r="I116" s="343">
        <v>19.403999999999996</v>
      </c>
      <c r="J116" s="121">
        <f t="shared" si="11"/>
        <v>342</v>
      </c>
      <c r="K116" s="125"/>
      <c r="L116" s="166"/>
      <c r="M116" s="166"/>
      <c r="N116" s="166"/>
      <c r="O116" s="166"/>
      <c r="P116" s="155"/>
      <c r="Q116" s="166"/>
      <c r="R116" s="166"/>
      <c r="S116" s="166"/>
      <c r="T116" s="166"/>
      <c r="U116" s="154">
        <v>157</v>
      </c>
      <c r="V116" s="123" t="s">
        <v>160</v>
      </c>
      <c r="W116" s="163">
        <v>163</v>
      </c>
      <c r="X116" s="125">
        <v>24</v>
      </c>
      <c r="Y116" s="371">
        <v>7.7460999999999993</v>
      </c>
      <c r="Z116" s="126">
        <v>151</v>
      </c>
      <c r="AA116" s="159" t="s">
        <v>257</v>
      </c>
      <c r="AB116" s="160">
        <v>154</v>
      </c>
      <c r="AC116" s="161">
        <v>36</v>
      </c>
      <c r="AD116" s="371">
        <v>9.3624000000000009</v>
      </c>
      <c r="AE116" s="122">
        <v>151</v>
      </c>
      <c r="AF116" s="159" t="s">
        <v>257</v>
      </c>
      <c r="AG116" s="160">
        <v>154</v>
      </c>
      <c r="AH116" s="161">
        <v>36</v>
      </c>
      <c r="AI116" s="371">
        <v>9.3624000000000009</v>
      </c>
      <c r="AJ116" s="126">
        <v>151</v>
      </c>
      <c r="AK116" s="159" t="s">
        <v>257</v>
      </c>
      <c r="AL116" s="160">
        <v>154</v>
      </c>
      <c r="AM116" s="161">
        <v>36</v>
      </c>
      <c r="AN116" s="371">
        <v>9.3624000000000009</v>
      </c>
      <c r="AO116" s="126">
        <v>151</v>
      </c>
      <c r="AP116" s="159" t="s">
        <v>257</v>
      </c>
      <c r="AQ116" s="160">
        <v>154</v>
      </c>
      <c r="AR116" s="161">
        <v>36</v>
      </c>
      <c r="AS116" s="371">
        <v>9.3624000000000009</v>
      </c>
    </row>
    <row r="117" spans="1:45" x14ac:dyDescent="0.25">
      <c r="A117" s="51" t="s">
        <v>198</v>
      </c>
      <c r="B117" s="117">
        <v>607</v>
      </c>
      <c r="C117" s="118">
        <v>5440</v>
      </c>
      <c r="D117" s="119">
        <v>109</v>
      </c>
      <c r="E117" s="120">
        <v>2.66</v>
      </c>
      <c r="F117" s="120" t="s">
        <v>512</v>
      </c>
      <c r="G117" s="120">
        <v>20.722631717993995</v>
      </c>
      <c r="H117" s="121">
        <v>36</v>
      </c>
      <c r="I117" s="343">
        <v>20.853000000000002</v>
      </c>
      <c r="J117" s="121">
        <f t="shared" si="11"/>
        <v>370</v>
      </c>
      <c r="K117" s="125"/>
      <c r="L117" s="166"/>
      <c r="M117" s="166"/>
      <c r="N117" s="166"/>
      <c r="O117" s="166"/>
      <c r="P117" s="155"/>
      <c r="Q117" s="166"/>
      <c r="R117" s="166"/>
      <c r="S117" s="166"/>
      <c r="T117" s="166"/>
      <c r="U117" s="154">
        <v>163</v>
      </c>
      <c r="V117" s="59" t="s">
        <v>227</v>
      </c>
      <c r="W117" s="27">
        <v>166</v>
      </c>
      <c r="X117" s="125">
        <v>30</v>
      </c>
      <c r="Y117" s="371">
        <v>8.088000000000001</v>
      </c>
      <c r="Z117" s="126">
        <v>154</v>
      </c>
      <c r="AA117" s="59" t="s">
        <v>216</v>
      </c>
      <c r="AB117" s="27">
        <v>155</v>
      </c>
      <c r="AC117" s="125">
        <v>30</v>
      </c>
      <c r="AD117" s="371">
        <v>7.875</v>
      </c>
      <c r="AE117" s="122">
        <v>154</v>
      </c>
      <c r="AF117" s="59" t="s">
        <v>216</v>
      </c>
      <c r="AG117" s="27">
        <v>155</v>
      </c>
      <c r="AH117" s="125">
        <v>30</v>
      </c>
      <c r="AI117" s="371">
        <v>7.875</v>
      </c>
      <c r="AJ117" s="126">
        <v>154</v>
      </c>
      <c r="AK117" s="59" t="s">
        <v>216</v>
      </c>
      <c r="AL117" s="27">
        <v>155</v>
      </c>
      <c r="AM117" s="125">
        <v>30</v>
      </c>
      <c r="AN117" s="371">
        <v>7.875</v>
      </c>
      <c r="AO117" s="126">
        <v>154</v>
      </c>
      <c r="AP117" s="59" t="s">
        <v>216</v>
      </c>
      <c r="AQ117" s="27">
        <v>155</v>
      </c>
      <c r="AR117" s="125">
        <v>30</v>
      </c>
      <c r="AS117" s="371">
        <v>7.875</v>
      </c>
    </row>
    <row r="118" spans="1:45" x14ac:dyDescent="0.25">
      <c r="A118" s="51" t="s">
        <v>199</v>
      </c>
      <c r="B118" s="117">
        <v>656</v>
      </c>
      <c r="C118" s="118">
        <v>6000</v>
      </c>
      <c r="D118" s="119">
        <v>117</v>
      </c>
      <c r="E118" s="120">
        <v>2.8450000000000002</v>
      </c>
      <c r="F118" s="120" t="s">
        <v>512</v>
      </c>
      <c r="G118" s="120">
        <v>21.048628954104398</v>
      </c>
      <c r="H118" s="121">
        <v>36</v>
      </c>
      <c r="I118" s="343">
        <v>22.301999999999996</v>
      </c>
      <c r="J118" s="121">
        <f t="shared" si="11"/>
        <v>398</v>
      </c>
      <c r="K118" s="125"/>
      <c r="L118" s="166"/>
      <c r="M118" s="166"/>
      <c r="N118" s="166"/>
      <c r="O118" s="166"/>
      <c r="P118" s="155"/>
      <c r="Q118" s="166"/>
      <c r="R118" s="166"/>
      <c r="S118" s="166"/>
      <c r="T118" s="166"/>
      <c r="U118" s="154">
        <v>166</v>
      </c>
      <c r="V118" s="159" t="s">
        <v>247</v>
      </c>
      <c r="W118" s="160">
        <v>171</v>
      </c>
      <c r="X118" s="161">
        <v>30</v>
      </c>
      <c r="Y118" s="371">
        <v>10.176399999999999</v>
      </c>
      <c r="Z118" s="126">
        <v>155</v>
      </c>
      <c r="AA118" s="59" t="s">
        <v>184</v>
      </c>
      <c r="AB118" s="27">
        <v>157</v>
      </c>
      <c r="AC118" s="125">
        <v>30</v>
      </c>
      <c r="AD118" s="371">
        <v>6.1109999999999998</v>
      </c>
      <c r="AE118" s="122">
        <v>155</v>
      </c>
      <c r="AF118" s="59" t="s">
        <v>184</v>
      </c>
      <c r="AG118" s="27">
        <v>157</v>
      </c>
      <c r="AH118" s="125">
        <v>30</v>
      </c>
      <c r="AI118" s="371">
        <v>6.1109999999999998</v>
      </c>
      <c r="AJ118" s="126">
        <v>155</v>
      </c>
      <c r="AK118" s="59" t="s">
        <v>184</v>
      </c>
      <c r="AL118" s="27">
        <v>157</v>
      </c>
      <c r="AM118" s="125">
        <v>30</v>
      </c>
      <c r="AN118" s="371">
        <v>6.1109999999999998</v>
      </c>
      <c r="AO118" s="126">
        <v>155</v>
      </c>
      <c r="AP118" s="59" t="s">
        <v>184</v>
      </c>
      <c r="AQ118" s="27">
        <v>157</v>
      </c>
      <c r="AR118" s="125">
        <v>30</v>
      </c>
      <c r="AS118" s="371">
        <v>6.1109999999999998</v>
      </c>
    </row>
    <row r="119" spans="1:45" x14ac:dyDescent="0.25">
      <c r="A119" s="51" t="s">
        <v>200</v>
      </c>
      <c r="B119" s="117">
        <v>707</v>
      </c>
      <c r="C119" s="118">
        <v>6600</v>
      </c>
      <c r="D119" s="119">
        <v>125</v>
      </c>
      <c r="E119" s="120">
        <v>3.0350000000000001</v>
      </c>
      <c r="F119" s="120" t="s">
        <v>512</v>
      </c>
      <c r="G119" s="120">
        <v>21.377922384810159</v>
      </c>
      <c r="H119" s="121">
        <v>36</v>
      </c>
      <c r="I119" s="343">
        <v>23.625000000000004</v>
      </c>
      <c r="J119" s="121">
        <f t="shared" si="11"/>
        <v>426</v>
      </c>
      <c r="K119" s="125"/>
      <c r="L119" s="166"/>
      <c r="M119" s="166"/>
      <c r="N119" s="166"/>
      <c r="O119" s="166"/>
      <c r="P119" s="155"/>
      <c r="Q119" s="166"/>
      <c r="R119" s="166"/>
      <c r="S119" s="166"/>
      <c r="T119" s="166"/>
      <c r="U119" s="154">
        <v>171</v>
      </c>
      <c r="V119" s="123" t="s">
        <v>101</v>
      </c>
      <c r="W119" s="27">
        <v>172</v>
      </c>
      <c r="X119" s="125">
        <v>30</v>
      </c>
      <c r="Y119" s="371">
        <v>10.143000000000002</v>
      </c>
      <c r="Z119" s="126">
        <v>157</v>
      </c>
      <c r="AA119" s="123" t="s">
        <v>160</v>
      </c>
      <c r="AB119" s="163">
        <v>163</v>
      </c>
      <c r="AC119" s="125">
        <v>24</v>
      </c>
      <c r="AD119" s="371">
        <v>7.7460999999999993</v>
      </c>
      <c r="AE119" s="122">
        <v>157</v>
      </c>
      <c r="AF119" s="123" t="s">
        <v>160</v>
      </c>
      <c r="AG119" s="163">
        <v>163</v>
      </c>
      <c r="AH119" s="125">
        <v>24</v>
      </c>
      <c r="AI119" s="371">
        <v>7.7460999999999993</v>
      </c>
      <c r="AJ119" s="126">
        <v>157</v>
      </c>
      <c r="AK119" s="123" t="s">
        <v>160</v>
      </c>
      <c r="AL119" s="163">
        <v>163</v>
      </c>
      <c r="AM119" s="125">
        <v>24</v>
      </c>
      <c r="AN119" s="371">
        <v>7.7460999999999993</v>
      </c>
      <c r="AO119" s="126">
        <v>157</v>
      </c>
      <c r="AP119" s="123" t="s">
        <v>160</v>
      </c>
      <c r="AQ119" s="163">
        <v>163</v>
      </c>
      <c r="AR119" s="125">
        <v>24</v>
      </c>
      <c r="AS119" s="371">
        <v>7.7460999999999993</v>
      </c>
    </row>
    <row r="120" spans="1:45" x14ac:dyDescent="0.25">
      <c r="A120" s="51" t="s">
        <v>201</v>
      </c>
      <c r="B120" s="117">
        <v>756</v>
      </c>
      <c r="C120" s="118">
        <v>7190</v>
      </c>
      <c r="D120" s="119">
        <v>134</v>
      </c>
      <c r="E120" s="120">
        <v>3.21</v>
      </c>
      <c r="F120" s="120" t="s">
        <v>512</v>
      </c>
      <c r="G120" s="120">
        <v>21.693456062513576</v>
      </c>
      <c r="H120" s="121">
        <v>36</v>
      </c>
      <c r="I120" s="343">
        <v>25.388999999999999</v>
      </c>
      <c r="J120" s="121">
        <f t="shared" si="11"/>
        <v>455</v>
      </c>
      <c r="K120" s="125"/>
      <c r="L120" s="166"/>
      <c r="M120" s="166"/>
      <c r="N120" s="166"/>
      <c r="O120" s="166"/>
      <c r="P120" s="155"/>
      <c r="Q120" s="166"/>
      <c r="R120" s="166"/>
      <c r="S120" s="166"/>
      <c r="T120" s="166"/>
      <c r="U120" s="154">
        <v>172</v>
      </c>
      <c r="V120" s="59" t="s">
        <v>185</v>
      </c>
      <c r="W120" s="27">
        <v>173</v>
      </c>
      <c r="X120" s="125">
        <v>30</v>
      </c>
      <c r="Y120" s="371">
        <v>6.6150000000000002</v>
      </c>
      <c r="Z120" s="126">
        <v>163</v>
      </c>
      <c r="AA120" s="59" t="s">
        <v>227</v>
      </c>
      <c r="AB120" s="27">
        <v>166</v>
      </c>
      <c r="AC120" s="125">
        <v>30</v>
      </c>
      <c r="AD120" s="371">
        <v>8.088000000000001</v>
      </c>
      <c r="AE120" s="122">
        <v>163</v>
      </c>
      <c r="AF120" s="59" t="s">
        <v>227</v>
      </c>
      <c r="AG120" s="27">
        <v>166</v>
      </c>
      <c r="AH120" s="125">
        <v>30</v>
      </c>
      <c r="AI120" s="371">
        <v>8.088000000000001</v>
      </c>
      <c r="AJ120" s="126">
        <v>163</v>
      </c>
      <c r="AK120" s="59" t="s">
        <v>227</v>
      </c>
      <c r="AL120" s="27">
        <v>166</v>
      </c>
      <c r="AM120" s="125">
        <v>30</v>
      </c>
      <c r="AN120" s="371">
        <v>8.088000000000001</v>
      </c>
      <c r="AO120" s="126">
        <v>163</v>
      </c>
      <c r="AP120" s="59" t="s">
        <v>227</v>
      </c>
      <c r="AQ120" s="27">
        <v>166</v>
      </c>
      <c r="AR120" s="125">
        <v>30</v>
      </c>
      <c r="AS120" s="371">
        <v>8.088000000000001</v>
      </c>
    </row>
    <row r="121" spans="1:45" x14ac:dyDescent="0.25">
      <c r="A121" s="51" t="s">
        <v>202</v>
      </c>
      <c r="B121" s="117">
        <v>838</v>
      </c>
      <c r="C121" s="118">
        <v>8210</v>
      </c>
      <c r="D121" s="119">
        <v>147</v>
      </c>
      <c r="E121" s="120">
        <v>3.5</v>
      </c>
      <c r="F121" s="120" t="s">
        <v>512</v>
      </c>
      <c r="G121" s="120">
        <v>22.199172747302935</v>
      </c>
      <c r="H121" s="121">
        <v>36</v>
      </c>
      <c r="I121" s="343">
        <v>27.594000000000001</v>
      </c>
      <c r="J121" s="121">
        <f t="shared" si="11"/>
        <v>500</v>
      </c>
      <c r="K121" s="125"/>
      <c r="L121" s="166"/>
      <c r="M121" s="166"/>
      <c r="N121" s="166"/>
      <c r="O121" s="166"/>
      <c r="P121" s="155"/>
      <c r="Q121" s="166"/>
      <c r="R121" s="166"/>
      <c r="S121" s="166"/>
      <c r="T121" s="166"/>
      <c r="U121" s="154">
        <v>173</v>
      </c>
      <c r="V121" s="59" t="s">
        <v>217</v>
      </c>
      <c r="W121" s="27">
        <v>175</v>
      </c>
      <c r="X121" s="125">
        <v>30</v>
      </c>
      <c r="Y121" s="371">
        <v>8.7749999999999986</v>
      </c>
      <c r="Z121" s="126">
        <v>166</v>
      </c>
      <c r="AA121" s="159" t="s">
        <v>247</v>
      </c>
      <c r="AB121" s="160">
        <v>171</v>
      </c>
      <c r="AC121" s="161">
        <v>30</v>
      </c>
      <c r="AD121" s="371">
        <v>10.176399999999999</v>
      </c>
      <c r="AE121" s="122">
        <v>166</v>
      </c>
      <c r="AF121" s="159" t="s">
        <v>247</v>
      </c>
      <c r="AG121" s="160">
        <v>171</v>
      </c>
      <c r="AH121" s="161">
        <v>30</v>
      </c>
      <c r="AI121" s="371">
        <v>10.176399999999999</v>
      </c>
      <c r="AJ121" s="126">
        <v>166</v>
      </c>
      <c r="AK121" s="159" t="s">
        <v>247</v>
      </c>
      <c r="AL121" s="160">
        <v>171</v>
      </c>
      <c r="AM121" s="161">
        <v>30</v>
      </c>
      <c r="AN121" s="371">
        <v>10.176399999999999</v>
      </c>
      <c r="AO121" s="126">
        <v>166</v>
      </c>
      <c r="AP121" s="159" t="s">
        <v>247</v>
      </c>
      <c r="AQ121" s="160">
        <v>171</v>
      </c>
      <c r="AR121" s="161">
        <v>30</v>
      </c>
      <c r="AS121" s="371">
        <v>10.176399999999999</v>
      </c>
    </row>
    <row r="122" spans="1:45" x14ac:dyDescent="0.25">
      <c r="A122" s="51" t="s">
        <v>203</v>
      </c>
      <c r="B122" s="117">
        <v>931</v>
      </c>
      <c r="C122" s="118">
        <v>9430</v>
      </c>
      <c r="D122" s="119">
        <v>162</v>
      </c>
      <c r="E122" s="120">
        <v>3.82</v>
      </c>
      <c r="F122" s="120" t="s">
        <v>512</v>
      </c>
      <c r="G122" s="120">
        <v>22.749799261538964</v>
      </c>
      <c r="H122" s="121">
        <v>36</v>
      </c>
      <c r="I122" s="343">
        <v>29.987999999999992</v>
      </c>
      <c r="J122" s="121">
        <f t="shared" si="11"/>
        <v>550</v>
      </c>
      <c r="K122" s="125"/>
      <c r="L122" s="166"/>
      <c r="M122" s="166"/>
      <c r="N122" s="166"/>
      <c r="O122" s="166"/>
      <c r="P122" s="155"/>
      <c r="Q122" s="166"/>
      <c r="R122" s="166"/>
      <c r="S122" s="166"/>
      <c r="T122" s="166"/>
      <c r="U122" s="154">
        <v>175</v>
      </c>
      <c r="V122" s="123" t="s">
        <v>161</v>
      </c>
      <c r="W122" s="163">
        <v>186</v>
      </c>
      <c r="X122" s="125">
        <v>30</v>
      </c>
      <c r="Y122" s="371">
        <v>8.6189</v>
      </c>
      <c r="Z122" s="126">
        <v>171</v>
      </c>
      <c r="AA122" s="123" t="s">
        <v>101</v>
      </c>
      <c r="AB122" s="27">
        <v>172</v>
      </c>
      <c r="AC122" s="125">
        <v>30</v>
      </c>
      <c r="AD122" s="371">
        <v>10.143000000000002</v>
      </c>
      <c r="AE122" s="122">
        <v>171</v>
      </c>
      <c r="AF122" s="123" t="s">
        <v>101</v>
      </c>
      <c r="AG122" s="27">
        <v>172</v>
      </c>
      <c r="AH122" s="125">
        <v>30</v>
      </c>
      <c r="AI122" s="371">
        <v>10.143000000000002</v>
      </c>
      <c r="AJ122" s="126">
        <v>171</v>
      </c>
      <c r="AK122" s="123" t="s">
        <v>101</v>
      </c>
      <c r="AL122" s="27">
        <v>172</v>
      </c>
      <c r="AM122" s="125">
        <v>30</v>
      </c>
      <c r="AN122" s="371">
        <v>10.143000000000002</v>
      </c>
      <c r="AO122" s="126">
        <v>171</v>
      </c>
      <c r="AP122" s="123" t="s">
        <v>101</v>
      </c>
      <c r="AQ122" s="27">
        <v>172</v>
      </c>
      <c r="AR122" s="125">
        <v>30</v>
      </c>
      <c r="AS122" s="371">
        <v>10.143000000000002</v>
      </c>
    </row>
    <row r="123" spans="1:45" x14ac:dyDescent="0.25">
      <c r="A123" s="51" t="s">
        <v>204</v>
      </c>
      <c r="B123" s="117">
        <v>1040</v>
      </c>
      <c r="C123" s="118">
        <v>10800</v>
      </c>
      <c r="D123" s="119">
        <v>178</v>
      </c>
      <c r="E123" s="120">
        <v>4.16</v>
      </c>
      <c r="F123" s="120" t="s">
        <v>512</v>
      </c>
      <c r="G123" s="120">
        <v>23.391665589596911</v>
      </c>
      <c r="H123" s="121">
        <v>36</v>
      </c>
      <c r="I123" s="343">
        <v>32.697000000000003</v>
      </c>
      <c r="J123" s="121">
        <f t="shared" si="11"/>
        <v>605</v>
      </c>
      <c r="K123" s="125"/>
      <c r="L123" s="166"/>
      <c r="M123" s="166"/>
      <c r="N123" s="166"/>
      <c r="O123" s="166"/>
      <c r="P123" s="155"/>
      <c r="Q123" s="166"/>
      <c r="R123" s="166"/>
      <c r="S123" s="166"/>
      <c r="T123" s="166"/>
      <c r="U123" s="154">
        <v>186</v>
      </c>
      <c r="V123" s="59" t="s">
        <v>228</v>
      </c>
      <c r="W123" s="27">
        <v>188</v>
      </c>
      <c r="X123" s="125">
        <v>30</v>
      </c>
      <c r="Y123" s="371">
        <v>9.0147500000000012</v>
      </c>
      <c r="Z123" s="126">
        <v>172</v>
      </c>
      <c r="AA123" s="59" t="s">
        <v>185</v>
      </c>
      <c r="AB123" s="27">
        <v>173</v>
      </c>
      <c r="AC123" s="125">
        <v>30</v>
      </c>
      <c r="AD123" s="371">
        <v>6.6150000000000002</v>
      </c>
      <c r="AE123" s="122">
        <v>172</v>
      </c>
      <c r="AF123" s="59" t="s">
        <v>185</v>
      </c>
      <c r="AG123" s="27">
        <v>173</v>
      </c>
      <c r="AH123" s="125">
        <v>30</v>
      </c>
      <c r="AI123" s="371">
        <v>6.6150000000000002</v>
      </c>
      <c r="AJ123" s="126">
        <v>172</v>
      </c>
      <c r="AK123" s="59" t="s">
        <v>185</v>
      </c>
      <c r="AL123" s="27">
        <v>173</v>
      </c>
      <c r="AM123" s="125">
        <v>30</v>
      </c>
      <c r="AN123" s="371">
        <v>6.6150000000000002</v>
      </c>
      <c r="AO123" s="126">
        <v>172</v>
      </c>
      <c r="AP123" s="59" t="s">
        <v>185</v>
      </c>
      <c r="AQ123" s="27">
        <v>173</v>
      </c>
      <c r="AR123" s="125">
        <v>30</v>
      </c>
      <c r="AS123" s="371">
        <v>6.6150000000000002</v>
      </c>
    </row>
    <row r="124" spans="1:45" x14ac:dyDescent="0.25">
      <c r="A124" s="51" t="s">
        <v>205</v>
      </c>
      <c r="B124" s="117">
        <v>1150</v>
      </c>
      <c r="C124" s="118">
        <v>12400</v>
      </c>
      <c r="D124" s="119">
        <v>196</v>
      </c>
      <c r="E124" s="120">
        <v>4.5199999999999996</v>
      </c>
      <c r="F124" s="120" t="s">
        <v>512</v>
      </c>
      <c r="G124" s="120">
        <v>23.981486028935997</v>
      </c>
      <c r="H124" s="121">
        <v>36</v>
      </c>
      <c r="I124" s="343">
        <v>35.658000000000008</v>
      </c>
      <c r="J124" s="121">
        <f t="shared" si="11"/>
        <v>665</v>
      </c>
      <c r="K124" s="125"/>
      <c r="L124" s="166"/>
      <c r="M124" s="166"/>
      <c r="N124" s="166"/>
      <c r="O124" s="166"/>
      <c r="P124" s="155"/>
      <c r="Q124" s="166"/>
      <c r="R124" s="166"/>
      <c r="S124" s="166"/>
      <c r="T124" s="166"/>
      <c r="U124" s="154">
        <v>188</v>
      </c>
      <c r="V124" s="59" t="s">
        <v>186</v>
      </c>
      <c r="W124" s="27">
        <v>190</v>
      </c>
      <c r="X124" s="125">
        <v>30</v>
      </c>
      <c r="Y124" s="371">
        <v>7.4340000000000002</v>
      </c>
      <c r="Z124" s="126">
        <v>173</v>
      </c>
      <c r="AA124" s="59" t="s">
        <v>217</v>
      </c>
      <c r="AB124" s="27">
        <v>175</v>
      </c>
      <c r="AC124" s="125">
        <v>30</v>
      </c>
      <c r="AD124" s="371">
        <v>8.7749999999999986</v>
      </c>
      <c r="AE124" s="122">
        <v>173</v>
      </c>
      <c r="AF124" s="59" t="s">
        <v>217</v>
      </c>
      <c r="AG124" s="27">
        <v>175</v>
      </c>
      <c r="AH124" s="125">
        <v>30</v>
      </c>
      <c r="AI124" s="371">
        <v>8.7749999999999986</v>
      </c>
      <c r="AJ124" s="126">
        <v>173</v>
      </c>
      <c r="AK124" s="59" t="s">
        <v>217</v>
      </c>
      <c r="AL124" s="27">
        <v>175</v>
      </c>
      <c r="AM124" s="125">
        <v>30</v>
      </c>
      <c r="AN124" s="371">
        <v>8.7749999999999986</v>
      </c>
      <c r="AO124" s="126">
        <v>173</v>
      </c>
      <c r="AP124" s="59" t="s">
        <v>217</v>
      </c>
      <c r="AQ124" s="27">
        <v>175</v>
      </c>
      <c r="AR124" s="125">
        <v>30</v>
      </c>
      <c r="AS124" s="371">
        <v>8.7749999999999986</v>
      </c>
    </row>
    <row r="125" spans="1:45" ht="15.75" thickBot="1" x14ac:dyDescent="0.3">
      <c r="A125" s="52" t="s">
        <v>206</v>
      </c>
      <c r="B125" s="130">
        <v>1280</v>
      </c>
      <c r="C125" s="131">
        <v>14300</v>
      </c>
      <c r="D125" s="132">
        <v>215</v>
      </c>
      <c r="E125" s="133">
        <v>4.91</v>
      </c>
      <c r="F125" s="133" t="s">
        <v>512</v>
      </c>
      <c r="G125" s="133">
        <v>24.666208364014114</v>
      </c>
      <c r="H125" s="134">
        <v>36</v>
      </c>
      <c r="I125" s="344">
        <v>38.682000000000002</v>
      </c>
      <c r="J125" s="134">
        <f t="shared" si="11"/>
        <v>730</v>
      </c>
      <c r="K125" s="125"/>
      <c r="L125" s="166"/>
      <c r="M125" s="166"/>
      <c r="N125" s="166"/>
      <c r="O125" s="166"/>
      <c r="P125" s="155"/>
      <c r="Q125" s="166"/>
      <c r="R125" s="166"/>
      <c r="S125" s="166"/>
      <c r="T125" s="166"/>
      <c r="U125" s="154">
        <v>190</v>
      </c>
      <c r="V125" s="159" t="s">
        <v>248</v>
      </c>
      <c r="W125" s="160">
        <v>192</v>
      </c>
      <c r="X125" s="161">
        <v>30</v>
      </c>
      <c r="Y125" s="371">
        <v>11.460800000000001</v>
      </c>
      <c r="Z125" s="126">
        <v>175</v>
      </c>
      <c r="AA125" s="159" t="s">
        <v>258</v>
      </c>
      <c r="AB125" s="160">
        <v>176</v>
      </c>
      <c r="AC125" s="161">
        <v>36</v>
      </c>
      <c r="AD125" s="371">
        <v>9.926400000000001</v>
      </c>
      <c r="AE125" s="122">
        <v>175</v>
      </c>
      <c r="AF125" s="159" t="s">
        <v>258</v>
      </c>
      <c r="AG125" s="160">
        <v>176</v>
      </c>
      <c r="AH125" s="161">
        <v>36</v>
      </c>
      <c r="AI125" s="371">
        <v>9.926400000000001</v>
      </c>
      <c r="AJ125" s="126">
        <v>175</v>
      </c>
      <c r="AK125" s="159" t="s">
        <v>258</v>
      </c>
      <c r="AL125" s="160">
        <v>176</v>
      </c>
      <c r="AM125" s="161">
        <v>36</v>
      </c>
      <c r="AN125" s="371">
        <v>9.926400000000001</v>
      </c>
      <c r="AO125" s="126">
        <v>175</v>
      </c>
      <c r="AP125" s="159" t="s">
        <v>258</v>
      </c>
      <c r="AQ125" s="160">
        <v>176</v>
      </c>
      <c r="AR125" s="161">
        <v>36</v>
      </c>
      <c r="AS125" s="371">
        <v>9.926400000000001</v>
      </c>
    </row>
    <row r="126" spans="1:45" x14ac:dyDescent="0.25">
      <c r="A126" s="104" t="s">
        <v>207</v>
      </c>
      <c r="B126" s="105">
        <v>38.4</v>
      </c>
      <c r="C126" s="106">
        <v>301</v>
      </c>
      <c r="D126" s="142">
        <v>7.68</v>
      </c>
      <c r="E126" s="108">
        <v>0.34499999999999997</v>
      </c>
      <c r="F126" s="108" t="s">
        <v>514</v>
      </c>
      <c r="G126" s="108">
        <v>12.41359520012503</v>
      </c>
      <c r="H126" s="109">
        <v>24</v>
      </c>
      <c r="I126" s="342">
        <v>3.75</v>
      </c>
      <c r="J126" s="109">
        <f t="shared" si="11"/>
        <v>26</v>
      </c>
      <c r="K126" s="125"/>
      <c r="L126" s="166"/>
      <c r="M126" s="166"/>
      <c r="N126" s="166"/>
      <c r="O126" s="166"/>
      <c r="P126" s="155"/>
      <c r="Q126" s="166"/>
      <c r="R126" s="166"/>
      <c r="S126" s="166"/>
      <c r="T126" s="166"/>
      <c r="U126" s="154">
        <v>192</v>
      </c>
      <c r="V126" s="59" t="s">
        <v>229</v>
      </c>
      <c r="W126" s="27">
        <v>204</v>
      </c>
      <c r="X126" s="125">
        <v>30</v>
      </c>
      <c r="Y126" s="371">
        <v>9.9414999999999996</v>
      </c>
      <c r="Z126" s="126">
        <v>176</v>
      </c>
      <c r="AA126" s="123" t="s">
        <v>161</v>
      </c>
      <c r="AB126" s="163">
        <v>186</v>
      </c>
      <c r="AC126" s="125">
        <v>30</v>
      </c>
      <c r="AD126" s="371">
        <v>8.6189</v>
      </c>
      <c r="AE126" s="122">
        <v>176</v>
      </c>
      <c r="AF126" s="123" t="s">
        <v>161</v>
      </c>
      <c r="AG126" s="163">
        <v>186</v>
      </c>
      <c r="AH126" s="125">
        <v>30</v>
      </c>
      <c r="AI126" s="371">
        <v>8.6189</v>
      </c>
      <c r="AJ126" s="126">
        <v>176</v>
      </c>
      <c r="AK126" s="123" t="s">
        <v>161</v>
      </c>
      <c r="AL126" s="163">
        <v>186</v>
      </c>
      <c r="AM126" s="125">
        <v>30</v>
      </c>
      <c r="AN126" s="371">
        <v>8.6189</v>
      </c>
      <c r="AO126" s="126">
        <v>176</v>
      </c>
      <c r="AP126" s="123" t="s">
        <v>161</v>
      </c>
      <c r="AQ126" s="163">
        <v>186</v>
      </c>
      <c r="AR126" s="125">
        <v>30</v>
      </c>
      <c r="AS126" s="371">
        <v>8.6189</v>
      </c>
    </row>
    <row r="127" spans="1:45" x14ac:dyDescent="0.25">
      <c r="A127" s="116" t="s">
        <v>208</v>
      </c>
      <c r="B127" s="117">
        <v>47.2</v>
      </c>
      <c r="C127" s="118">
        <v>375</v>
      </c>
      <c r="D127" s="146">
        <v>9.1199999999999992</v>
      </c>
      <c r="E127" s="120">
        <v>0.44</v>
      </c>
      <c r="F127" s="120" t="s">
        <v>514</v>
      </c>
      <c r="G127" s="120">
        <v>12.333057099262948</v>
      </c>
      <c r="H127" s="121">
        <v>24</v>
      </c>
      <c r="I127" s="343">
        <v>4.125</v>
      </c>
      <c r="J127" s="121">
        <f t="shared" si="11"/>
        <v>31</v>
      </c>
      <c r="K127" s="125"/>
      <c r="L127" s="166"/>
      <c r="M127" s="166"/>
      <c r="N127" s="166"/>
      <c r="O127" s="166"/>
      <c r="P127" s="155"/>
      <c r="Q127" s="166"/>
      <c r="R127" s="166"/>
      <c r="S127" s="166"/>
      <c r="T127" s="166"/>
      <c r="U127" s="154">
        <v>204</v>
      </c>
      <c r="V127" s="123" t="s">
        <v>162</v>
      </c>
      <c r="W127" s="163">
        <v>209</v>
      </c>
      <c r="X127" s="125">
        <v>30</v>
      </c>
      <c r="Y127" s="371">
        <v>9.4916999999999998</v>
      </c>
      <c r="Z127" s="126">
        <v>186</v>
      </c>
      <c r="AA127" s="59" t="s">
        <v>228</v>
      </c>
      <c r="AB127" s="27">
        <v>188</v>
      </c>
      <c r="AC127" s="125">
        <v>30</v>
      </c>
      <c r="AD127" s="371">
        <v>9.0147500000000012</v>
      </c>
      <c r="AE127" s="122">
        <v>186</v>
      </c>
      <c r="AF127" s="59" t="s">
        <v>228</v>
      </c>
      <c r="AG127" s="27">
        <v>188</v>
      </c>
      <c r="AH127" s="125">
        <v>30</v>
      </c>
      <c r="AI127" s="371">
        <v>9.0147500000000012</v>
      </c>
      <c r="AJ127" s="126">
        <v>186</v>
      </c>
      <c r="AK127" s="59" t="s">
        <v>228</v>
      </c>
      <c r="AL127" s="27">
        <v>188</v>
      </c>
      <c r="AM127" s="125">
        <v>30</v>
      </c>
      <c r="AN127" s="371">
        <v>9.0147500000000012</v>
      </c>
      <c r="AO127" s="126">
        <v>186</v>
      </c>
      <c r="AP127" s="59" t="s">
        <v>228</v>
      </c>
      <c r="AQ127" s="27">
        <v>188</v>
      </c>
      <c r="AR127" s="125">
        <v>30</v>
      </c>
      <c r="AS127" s="371">
        <v>9.0147500000000012</v>
      </c>
    </row>
    <row r="128" spans="1:45" x14ac:dyDescent="0.25">
      <c r="A128" s="116" t="s">
        <v>209</v>
      </c>
      <c r="B128" s="117">
        <v>56.5</v>
      </c>
      <c r="C128" s="118">
        <v>448</v>
      </c>
      <c r="D128" s="119">
        <v>10.6</v>
      </c>
      <c r="E128" s="120">
        <v>0.43</v>
      </c>
      <c r="F128" s="120" t="s">
        <v>514</v>
      </c>
      <c r="G128" s="120">
        <v>13.567300500686347</v>
      </c>
      <c r="H128" s="121">
        <v>24</v>
      </c>
      <c r="I128" s="343">
        <v>4.4249999999999998</v>
      </c>
      <c r="J128" s="121">
        <f t="shared" si="11"/>
        <v>36</v>
      </c>
      <c r="K128" s="125"/>
      <c r="L128" s="166"/>
      <c r="M128" s="166"/>
      <c r="N128" s="166"/>
      <c r="O128" s="166"/>
      <c r="P128" s="155"/>
      <c r="Q128" s="166"/>
      <c r="R128" s="166"/>
      <c r="S128" s="166"/>
      <c r="T128" s="166"/>
      <c r="U128" s="154">
        <v>209</v>
      </c>
      <c r="V128" s="59" t="s">
        <v>187</v>
      </c>
      <c r="W128" s="27">
        <v>209</v>
      </c>
      <c r="X128" s="125">
        <v>30</v>
      </c>
      <c r="Y128" s="371">
        <v>8.1270000000000007</v>
      </c>
      <c r="Z128" s="126">
        <v>188</v>
      </c>
      <c r="AA128" s="59" t="s">
        <v>186</v>
      </c>
      <c r="AB128" s="27">
        <v>190</v>
      </c>
      <c r="AC128" s="125">
        <v>30</v>
      </c>
      <c r="AD128" s="371">
        <v>7.4340000000000002</v>
      </c>
      <c r="AE128" s="122">
        <v>188</v>
      </c>
      <c r="AF128" s="59" t="s">
        <v>186</v>
      </c>
      <c r="AG128" s="27">
        <v>190</v>
      </c>
      <c r="AH128" s="125">
        <v>30</v>
      </c>
      <c r="AI128" s="371">
        <v>7.4340000000000002</v>
      </c>
      <c r="AJ128" s="126">
        <v>188</v>
      </c>
      <c r="AK128" s="59" t="s">
        <v>186</v>
      </c>
      <c r="AL128" s="27">
        <v>190</v>
      </c>
      <c r="AM128" s="125">
        <v>30</v>
      </c>
      <c r="AN128" s="371">
        <v>7.4340000000000002</v>
      </c>
      <c r="AO128" s="126">
        <v>188</v>
      </c>
      <c r="AP128" s="59" t="s">
        <v>186</v>
      </c>
      <c r="AQ128" s="27">
        <v>190</v>
      </c>
      <c r="AR128" s="125">
        <v>30</v>
      </c>
      <c r="AS128" s="371">
        <v>7.4340000000000002</v>
      </c>
    </row>
    <row r="129" spans="1:45" x14ac:dyDescent="0.25">
      <c r="A129" s="116" t="s">
        <v>210</v>
      </c>
      <c r="B129" s="117">
        <v>64.7</v>
      </c>
      <c r="C129" s="118">
        <v>518</v>
      </c>
      <c r="D129" s="119">
        <v>11.8</v>
      </c>
      <c r="E129" s="120">
        <v>0.505</v>
      </c>
      <c r="F129" s="120" t="s">
        <v>514</v>
      </c>
      <c r="G129" s="120">
        <v>13.512837148877002</v>
      </c>
      <c r="H129" s="121">
        <v>24</v>
      </c>
      <c r="I129" s="343">
        <v>4.5750000000000002</v>
      </c>
      <c r="J129" s="121">
        <f t="shared" si="11"/>
        <v>40</v>
      </c>
      <c r="K129" s="125"/>
      <c r="L129" s="166"/>
      <c r="M129" s="166"/>
      <c r="N129" s="166"/>
      <c r="O129" s="166"/>
      <c r="P129" s="155"/>
      <c r="Q129" s="166"/>
      <c r="R129" s="166"/>
      <c r="S129" s="166"/>
      <c r="T129" s="166"/>
      <c r="U129" s="154">
        <v>209</v>
      </c>
      <c r="V129" s="59" t="s">
        <v>230</v>
      </c>
      <c r="W129" s="27">
        <v>231</v>
      </c>
      <c r="X129" s="125">
        <v>30</v>
      </c>
      <c r="Y129" s="371">
        <v>11.03675</v>
      </c>
      <c r="Z129" s="126">
        <v>190</v>
      </c>
      <c r="AA129" s="159" t="s">
        <v>248</v>
      </c>
      <c r="AB129" s="160">
        <v>192</v>
      </c>
      <c r="AC129" s="161">
        <v>30</v>
      </c>
      <c r="AD129" s="371">
        <v>11.460800000000001</v>
      </c>
      <c r="AE129" s="122">
        <v>190</v>
      </c>
      <c r="AF129" s="159" t="s">
        <v>248</v>
      </c>
      <c r="AG129" s="160">
        <v>192</v>
      </c>
      <c r="AH129" s="161">
        <v>30</v>
      </c>
      <c r="AI129" s="371">
        <v>11.460800000000001</v>
      </c>
      <c r="AJ129" s="126">
        <v>190</v>
      </c>
      <c r="AK129" s="159" t="s">
        <v>248</v>
      </c>
      <c r="AL129" s="160">
        <v>192</v>
      </c>
      <c r="AM129" s="161">
        <v>30</v>
      </c>
      <c r="AN129" s="371">
        <v>11.460800000000001</v>
      </c>
      <c r="AO129" s="126">
        <v>190</v>
      </c>
      <c r="AP129" s="159" t="s">
        <v>248</v>
      </c>
      <c r="AQ129" s="160">
        <v>192</v>
      </c>
      <c r="AR129" s="161">
        <v>30</v>
      </c>
      <c r="AS129" s="371">
        <v>11.460800000000001</v>
      </c>
    </row>
    <row r="130" spans="1:45" x14ac:dyDescent="0.25">
      <c r="A130" s="116" t="s">
        <v>211</v>
      </c>
      <c r="B130" s="117">
        <v>72.7</v>
      </c>
      <c r="C130" s="118">
        <v>586</v>
      </c>
      <c r="D130" s="119">
        <v>13.3</v>
      </c>
      <c r="E130" s="120">
        <v>0.56499999999999995</v>
      </c>
      <c r="F130" s="120" t="s">
        <v>514</v>
      </c>
      <c r="G130" s="120">
        <v>13.626338327330641</v>
      </c>
      <c r="H130" s="121">
        <v>24</v>
      </c>
      <c r="I130" s="343">
        <v>5.1749999999999998</v>
      </c>
      <c r="J130" s="121">
        <f t="shared" si="11"/>
        <v>45</v>
      </c>
      <c r="K130" s="125"/>
      <c r="L130" s="166"/>
      <c r="M130" s="166"/>
      <c r="N130" s="166"/>
      <c r="O130" s="166"/>
      <c r="P130" s="155"/>
      <c r="Q130" s="166"/>
      <c r="R130" s="166"/>
      <c r="S130" s="166"/>
      <c r="T130" s="166"/>
      <c r="U130" s="154">
        <v>231</v>
      </c>
      <c r="V130" s="59" t="s">
        <v>188</v>
      </c>
      <c r="W130" s="27">
        <v>232</v>
      </c>
      <c r="X130" s="125">
        <v>30</v>
      </c>
      <c r="Y130" s="371">
        <v>8.5679999999999996</v>
      </c>
      <c r="Z130" s="126">
        <v>192</v>
      </c>
      <c r="AA130" s="159" t="s">
        <v>259</v>
      </c>
      <c r="AB130" s="160">
        <v>196</v>
      </c>
      <c r="AC130" s="161">
        <v>36</v>
      </c>
      <c r="AD130" s="371">
        <v>10.603200000000001</v>
      </c>
      <c r="AE130" s="122">
        <v>192</v>
      </c>
      <c r="AF130" s="159" t="s">
        <v>259</v>
      </c>
      <c r="AG130" s="160">
        <v>196</v>
      </c>
      <c r="AH130" s="161">
        <v>36</v>
      </c>
      <c r="AI130" s="371">
        <v>10.603200000000001</v>
      </c>
      <c r="AJ130" s="126">
        <v>192</v>
      </c>
      <c r="AK130" s="159" t="s">
        <v>259</v>
      </c>
      <c r="AL130" s="160">
        <v>196</v>
      </c>
      <c r="AM130" s="161">
        <v>36</v>
      </c>
      <c r="AN130" s="371">
        <v>10.603200000000001</v>
      </c>
      <c r="AO130" s="126">
        <v>192</v>
      </c>
      <c r="AP130" s="159" t="s">
        <v>259</v>
      </c>
      <c r="AQ130" s="160">
        <v>196</v>
      </c>
      <c r="AR130" s="161">
        <v>36</v>
      </c>
      <c r="AS130" s="371">
        <v>10.603200000000001</v>
      </c>
    </row>
    <row r="131" spans="1:45" x14ac:dyDescent="0.25">
      <c r="A131" s="116" t="s">
        <v>212</v>
      </c>
      <c r="B131" s="117">
        <v>81</v>
      </c>
      <c r="C131" s="118">
        <v>659</v>
      </c>
      <c r="D131" s="119">
        <v>14.7</v>
      </c>
      <c r="E131" s="120">
        <v>0.63</v>
      </c>
      <c r="F131" s="120" t="s">
        <v>514</v>
      </c>
      <c r="G131" s="120">
        <v>13.713867001442209</v>
      </c>
      <c r="H131" s="121">
        <v>24</v>
      </c>
      <c r="I131" s="343">
        <v>5.7000000000000011</v>
      </c>
      <c r="J131" s="121">
        <f t="shared" si="11"/>
        <v>50</v>
      </c>
      <c r="K131" s="125"/>
      <c r="L131" s="166"/>
      <c r="M131" s="166"/>
      <c r="N131" s="166"/>
      <c r="O131" s="166"/>
      <c r="P131" s="155"/>
      <c r="Q131" s="166"/>
      <c r="R131" s="166"/>
      <c r="S131" s="166"/>
      <c r="T131" s="166"/>
      <c r="U131" s="154">
        <v>232</v>
      </c>
      <c r="V131" s="123" t="s">
        <v>163</v>
      </c>
      <c r="W131" s="163">
        <v>235</v>
      </c>
      <c r="X131" s="125">
        <v>30</v>
      </c>
      <c r="Y131" s="371">
        <v>10.473599999999999</v>
      </c>
      <c r="Z131" s="126">
        <v>196</v>
      </c>
      <c r="AA131" s="59" t="s">
        <v>229</v>
      </c>
      <c r="AB131" s="27">
        <v>204</v>
      </c>
      <c r="AC131" s="125">
        <v>30</v>
      </c>
      <c r="AD131" s="371">
        <v>9.9414999999999996</v>
      </c>
      <c r="AE131" s="122">
        <v>196</v>
      </c>
      <c r="AF131" s="59" t="s">
        <v>229</v>
      </c>
      <c r="AG131" s="27">
        <v>204</v>
      </c>
      <c r="AH131" s="125">
        <v>30</v>
      </c>
      <c r="AI131" s="371">
        <v>9.9414999999999996</v>
      </c>
      <c r="AJ131" s="126">
        <v>196</v>
      </c>
      <c r="AK131" s="59" t="s">
        <v>229</v>
      </c>
      <c r="AL131" s="27">
        <v>204</v>
      </c>
      <c r="AM131" s="125">
        <v>30</v>
      </c>
      <c r="AN131" s="371">
        <v>9.9414999999999996</v>
      </c>
      <c r="AO131" s="126">
        <v>196</v>
      </c>
      <c r="AP131" s="59" t="s">
        <v>229</v>
      </c>
      <c r="AQ131" s="27">
        <v>204</v>
      </c>
      <c r="AR131" s="125">
        <v>30</v>
      </c>
      <c r="AS131" s="371">
        <v>9.9414999999999996</v>
      </c>
    </row>
    <row r="132" spans="1:45" x14ac:dyDescent="0.25">
      <c r="A132" s="116" t="s">
        <v>213</v>
      </c>
      <c r="B132" s="117">
        <v>92.2</v>
      </c>
      <c r="C132" s="118">
        <v>758</v>
      </c>
      <c r="D132" s="119">
        <v>16.8</v>
      </c>
      <c r="E132" s="120">
        <v>0.71499999999999997</v>
      </c>
      <c r="F132" s="120" t="s">
        <v>514</v>
      </c>
      <c r="G132" s="120">
        <v>13.853091077293278</v>
      </c>
      <c r="H132" s="121">
        <v>24</v>
      </c>
      <c r="I132" s="343">
        <v>6.45</v>
      </c>
      <c r="J132" s="121">
        <f t="shared" si="11"/>
        <v>57</v>
      </c>
      <c r="K132" s="125"/>
      <c r="L132" s="166"/>
      <c r="M132" s="166"/>
      <c r="N132" s="166"/>
      <c r="O132" s="166"/>
      <c r="P132" s="155"/>
      <c r="Q132" s="166"/>
      <c r="R132" s="166"/>
      <c r="S132" s="166"/>
      <c r="T132" s="166"/>
      <c r="U132" s="154">
        <v>235</v>
      </c>
      <c r="V132" s="59" t="s">
        <v>189</v>
      </c>
      <c r="W132" s="27">
        <v>254</v>
      </c>
      <c r="X132" s="125">
        <v>30</v>
      </c>
      <c r="Y132" s="371">
        <v>9.3870000000000005</v>
      </c>
      <c r="Z132" s="126">
        <v>204</v>
      </c>
      <c r="AA132" s="123" t="s">
        <v>162</v>
      </c>
      <c r="AB132" s="163">
        <v>209</v>
      </c>
      <c r="AC132" s="125">
        <v>30</v>
      </c>
      <c r="AD132" s="371">
        <v>9.4916999999999998</v>
      </c>
      <c r="AE132" s="122">
        <v>204</v>
      </c>
      <c r="AF132" s="123" t="s">
        <v>162</v>
      </c>
      <c r="AG132" s="163">
        <v>209</v>
      </c>
      <c r="AH132" s="125">
        <v>30</v>
      </c>
      <c r="AI132" s="371">
        <v>9.4916999999999998</v>
      </c>
      <c r="AJ132" s="126">
        <v>204</v>
      </c>
      <c r="AK132" s="123" t="s">
        <v>162</v>
      </c>
      <c r="AL132" s="163">
        <v>209</v>
      </c>
      <c r="AM132" s="125">
        <v>30</v>
      </c>
      <c r="AN132" s="371">
        <v>9.4916999999999998</v>
      </c>
      <c r="AO132" s="126">
        <v>204</v>
      </c>
      <c r="AP132" s="123" t="s">
        <v>162</v>
      </c>
      <c r="AQ132" s="163">
        <v>209</v>
      </c>
      <c r="AR132" s="125">
        <v>30</v>
      </c>
      <c r="AS132" s="371">
        <v>9.4916999999999998</v>
      </c>
    </row>
    <row r="133" spans="1:45" x14ac:dyDescent="0.25">
      <c r="A133" s="51" t="s">
        <v>214</v>
      </c>
      <c r="B133" s="117">
        <v>117</v>
      </c>
      <c r="C133" s="118">
        <v>954</v>
      </c>
      <c r="D133" s="119">
        <v>19.7</v>
      </c>
      <c r="E133" s="120">
        <v>0.66500000000000004</v>
      </c>
      <c r="F133" s="120" t="s">
        <v>512</v>
      </c>
      <c r="G133" s="120">
        <v>15.939926356319354</v>
      </c>
      <c r="H133" s="121">
        <v>30</v>
      </c>
      <c r="I133" s="343">
        <v>5.9249999999999998</v>
      </c>
      <c r="J133" s="121">
        <f t="shared" si="11"/>
        <v>67</v>
      </c>
      <c r="K133" s="125"/>
      <c r="L133" s="166"/>
      <c r="M133" s="166"/>
      <c r="N133" s="166"/>
      <c r="O133" s="166"/>
      <c r="P133" s="155"/>
      <c r="Q133" s="166"/>
      <c r="R133" s="166"/>
      <c r="S133" s="166"/>
      <c r="T133" s="166"/>
      <c r="U133" s="154">
        <v>254</v>
      </c>
      <c r="V133" s="59" t="s">
        <v>231</v>
      </c>
      <c r="W133" s="27">
        <v>256</v>
      </c>
      <c r="X133" s="125">
        <v>30</v>
      </c>
      <c r="Y133" s="371">
        <v>11.289500000000002</v>
      </c>
      <c r="Z133" s="126">
        <v>209</v>
      </c>
      <c r="AA133" s="59" t="s">
        <v>187</v>
      </c>
      <c r="AB133" s="27">
        <v>209</v>
      </c>
      <c r="AC133" s="125">
        <v>30</v>
      </c>
      <c r="AD133" s="371">
        <v>8.1270000000000007</v>
      </c>
      <c r="AE133" s="122">
        <v>209</v>
      </c>
      <c r="AF133" s="59" t="s">
        <v>187</v>
      </c>
      <c r="AG133" s="27">
        <v>209</v>
      </c>
      <c r="AH133" s="125">
        <v>30</v>
      </c>
      <c r="AI133" s="371">
        <v>8.1270000000000007</v>
      </c>
      <c r="AJ133" s="126">
        <v>209</v>
      </c>
      <c r="AK133" s="59" t="s">
        <v>187</v>
      </c>
      <c r="AL133" s="27">
        <v>209</v>
      </c>
      <c r="AM133" s="125">
        <v>30</v>
      </c>
      <c r="AN133" s="371">
        <v>8.1270000000000007</v>
      </c>
      <c r="AO133" s="126">
        <v>209</v>
      </c>
      <c r="AP133" s="59" t="s">
        <v>187</v>
      </c>
      <c r="AQ133" s="27">
        <v>209</v>
      </c>
      <c r="AR133" s="125">
        <v>30</v>
      </c>
      <c r="AS133" s="371">
        <v>8.1270000000000007</v>
      </c>
    </row>
    <row r="134" spans="1:45" x14ac:dyDescent="0.25">
      <c r="A134" s="51" t="s">
        <v>215</v>
      </c>
      <c r="B134" s="117">
        <v>134</v>
      </c>
      <c r="C134" s="118">
        <v>1110</v>
      </c>
      <c r="D134" s="119">
        <v>22.6</v>
      </c>
      <c r="E134" s="120">
        <v>0.76</v>
      </c>
      <c r="F134" s="120" t="s">
        <v>512</v>
      </c>
      <c r="G134" s="120">
        <v>16.091104224610117</v>
      </c>
      <c r="H134" s="121">
        <v>30</v>
      </c>
      <c r="I134" s="343">
        <v>6.8250000000000002</v>
      </c>
      <c r="J134" s="121">
        <f t="shared" si="11"/>
        <v>77</v>
      </c>
      <c r="K134" s="125"/>
      <c r="L134" s="166"/>
      <c r="M134" s="166"/>
      <c r="N134" s="166"/>
      <c r="O134" s="166"/>
      <c r="P134" s="155"/>
      <c r="Q134" s="166"/>
      <c r="R134" s="166"/>
      <c r="S134" s="166"/>
      <c r="T134" s="166"/>
      <c r="U134" s="154">
        <v>256</v>
      </c>
      <c r="V134" s="123" t="s">
        <v>164</v>
      </c>
      <c r="W134" s="163">
        <v>263</v>
      </c>
      <c r="X134" s="125">
        <v>30</v>
      </c>
      <c r="Y134" s="371">
        <v>11.5646</v>
      </c>
      <c r="Z134" s="126">
        <v>209</v>
      </c>
      <c r="AA134" s="159" t="s">
        <v>278</v>
      </c>
      <c r="AB134" s="160">
        <v>213</v>
      </c>
      <c r="AC134" s="161">
        <v>36</v>
      </c>
      <c r="AD134" s="371">
        <v>11.697800000000001</v>
      </c>
      <c r="AE134" s="122">
        <v>209</v>
      </c>
      <c r="AF134" s="159" t="s">
        <v>278</v>
      </c>
      <c r="AG134" s="160">
        <v>213</v>
      </c>
      <c r="AH134" s="161">
        <v>36</v>
      </c>
      <c r="AI134" s="371">
        <v>11.697800000000001</v>
      </c>
      <c r="AJ134" s="126">
        <v>209</v>
      </c>
      <c r="AK134" s="159" t="s">
        <v>278</v>
      </c>
      <c r="AL134" s="160">
        <v>213</v>
      </c>
      <c r="AM134" s="161">
        <v>36</v>
      </c>
      <c r="AN134" s="371">
        <v>11.697800000000001</v>
      </c>
      <c r="AO134" s="126">
        <v>209</v>
      </c>
      <c r="AP134" s="159" t="s">
        <v>278</v>
      </c>
      <c r="AQ134" s="160">
        <v>213</v>
      </c>
      <c r="AR134" s="161">
        <v>36</v>
      </c>
      <c r="AS134" s="371">
        <v>11.697800000000001</v>
      </c>
    </row>
    <row r="135" spans="1:45" x14ac:dyDescent="0.25">
      <c r="A135" s="51" t="s">
        <v>216</v>
      </c>
      <c r="B135" s="117">
        <v>155</v>
      </c>
      <c r="C135" s="118">
        <v>1300</v>
      </c>
      <c r="D135" s="119">
        <v>26.2</v>
      </c>
      <c r="E135" s="120">
        <v>0.875</v>
      </c>
      <c r="F135" s="120" t="s">
        <v>512</v>
      </c>
      <c r="G135" s="120">
        <v>16.288721632311077</v>
      </c>
      <c r="H135" s="121">
        <v>30</v>
      </c>
      <c r="I135" s="343">
        <v>7.875</v>
      </c>
      <c r="J135" s="121">
        <f t="shared" ref="J135:J198" si="12">VALUE(RIGHT(A135,3))</f>
        <v>89</v>
      </c>
      <c r="K135" s="125"/>
      <c r="L135" s="166"/>
      <c r="M135" s="166"/>
      <c r="N135" s="166"/>
      <c r="O135" s="166"/>
      <c r="P135" s="155"/>
      <c r="Q135" s="166"/>
      <c r="R135" s="166"/>
      <c r="S135" s="166"/>
      <c r="T135" s="166"/>
      <c r="U135" s="154">
        <v>263</v>
      </c>
      <c r="V135" s="59" t="s">
        <v>190</v>
      </c>
      <c r="W135" s="27">
        <v>281</v>
      </c>
      <c r="X135" s="125">
        <v>30</v>
      </c>
      <c r="Y135" s="371">
        <v>10.458</v>
      </c>
      <c r="Z135" s="126">
        <v>213</v>
      </c>
      <c r="AA135" s="159" t="s">
        <v>260</v>
      </c>
      <c r="AB135" s="160">
        <v>222</v>
      </c>
      <c r="AC135" s="161">
        <v>36</v>
      </c>
      <c r="AD135" s="371">
        <v>11.618399999999999</v>
      </c>
      <c r="AE135" s="122">
        <v>213</v>
      </c>
      <c r="AF135" s="159" t="s">
        <v>260</v>
      </c>
      <c r="AG135" s="160">
        <v>222</v>
      </c>
      <c r="AH135" s="161">
        <v>36</v>
      </c>
      <c r="AI135" s="371">
        <v>11.618399999999999</v>
      </c>
      <c r="AJ135" s="126">
        <v>213</v>
      </c>
      <c r="AK135" s="159" t="s">
        <v>260</v>
      </c>
      <c r="AL135" s="160">
        <v>222</v>
      </c>
      <c r="AM135" s="161">
        <v>36</v>
      </c>
      <c r="AN135" s="371">
        <v>11.618399999999999</v>
      </c>
      <c r="AO135" s="126">
        <v>213</v>
      </c>
      <c r="AP135" s="159" t="s">
        <v>260</v>
      </c>
      <c r="AQ135" s="160">
        <v>222</v>
      </c>
      <c r="AR135" s="161">
        <v>36</v>
      </c>
      <c r="AS135" s="371">
        <v>11.618399999999999</v>
      </c>
    </row>
    <row r="136" spans="1:45" ht="15.75" thickBot="1" x14ac:dyDescent="0.3">
      <c r="A136" s="52" t="s">
        <v>217</v>
      </c>
      <c r="B136" s="130">
        <v>175</v>
      </c>
      <c r="C136" s="131">
        <v>1490</v>
      </c>
      <c r="D136" s="132">
        <v>29.4</v>
      </c>
      <c r="E136" s="133">
        <v>0.98499999999999999</v>
      </c>
      <c r="F136" s="133" t="s">
        <v>512</v>
      </c>
      <c r="G136" s="133">
        <v>16.465087103473383</v>
      </c>
      <c r="H136" s="134">
        <v>30</v>
      </c>
      <c r="I136" s="344">
        <v>8.7749999999999986</v>
      </c>
      <c r="J136" s="134">
        <f t="shared" si="12"/>
        <v>100</v>
      </c>
      <c r="K136" s="125"/>
      <c r="L136" s="166"/>
      <c r="M136" s="166"/>
      <c r="N136" s="166"/>
      <c r="O136" s="166"/>
      <c r="P136" s="155"/>
      <c r="Q136" s="166"/>
      <c r="R136" s="166"/>
      <c r="S136" s="166"/>
      <c r="T136" s="166"/>
      <c r="U136" s="154">
        <v>281</v>
      </c>
      <c r="V136" s="59" t="s">
        <v>232</v>
      </c>
      <c r="W136" s="27">
        <v>282</v>
      </c>
      <c r="X136" s="125">
        <v>30</v>
      </c>
      <c r="Y136" s="371">
        <v>12.300499999999998</v>
      </c>
      <c r="Z136" s="126">
        <v>222</v>
      </c>
      <c r="AA136" s="159" t="s">
        <v>249</v>
      </c>
      <c r="AB136" s="160">
        <v>227</v>
      </c>
      <c r="AC136" s="161">
        <v>36</v>
      </c>
      <c r="AD136" s="371">
        <v>9.879999999999999</v>
      </c>
      <c r="AE136" s="122">
        <v>222</v>
      </c>
      <c r="AF136" s="159" t="s">
        <v>249</v>
      </c>
      <c r="AG136" s="160">
        <v>227</v>
      </c>
      <c r="AH136" s="161">
        <v>36</v>
      </c>
      <c r="AI136" s="371">
        <v>9.879999999999999</v>
      </c>
      <c r="AJ136" s="126">
        <v>222</v>
      </c>
      <c r="AK136" s="159" t="s">
        <v>249</v>
      </c>
      <c r="AL136" s="160">
        <v>227</v>
      </c>
      <c r="AM136" s="161">
        <v>36</v>
      </c>
      <c r="AN136" s="371">
        <v>9.879999999999999</v>
      </c>
      <c r="AO136" s="126">
        <v>222</v>
      </c>
      <c r="AP136" s="159" t="s">
        <v>249</v>
      </c>
      <c r="AQ136" s="160">
        <v>227</v>
      </c>
      <c r="AR136" s="161">
        <v>36</v>
      </c>
      <c r="AS136" s="371">
        <v>9.879999999999999</v>
      </c>
    </row>
    <row r="137" spans="1:45" x14ac:dyDescent="0.25">
      <c r="A137" s="104" t="s">
        <v>218</v>
      </c>
      <c r="B137" s="105">
        <v>57.6</v>
      </c>
      <c r="C137" s="106">
        <v>510</v>
      </c>
      <c r="D137" s="107">
        <v>10.3</v>
      </c>
      <c r="E137" s="108">
        <v>0.42499999999999999</v>
      </c>
      <c r="F137" s="108" t="s">
        <v>514</v>
      </c>
      <c r="G137" s="108">
        <v>13.762158181079121</v>
      </c>
      <c r="H137" s="109">
        <v>30</v>
      </c>
      <c r="I137" s="342">
        <v>5.0549999999999988</v>
      </c>
      <c r="J137" s="109">
        <f t="shared" si="12"/>
        <v>35</v>
      </c>
      <c r="K137" s="125"/>
      <c r="L137" s="166"/>
      <c r="M137" s="166"/>
      <c r="N137" s="166"/>
      <c r="O137" s="166"/>
      <c r="P137" s="155"/>
      <c r="Q137" s="166"/>
      <c r="R137" s="166"/>
      <c r="S137" s="166"/>
      <c r="T137" s="166"/>
      <c r="U137" s="154">
        <v>282</v>
      </c>
      <c r="V137" s="123" t="s">
        <v>165</v>
      </c>
      <c r="W137" s="163">
        <v>292</v>
      </c>
      <c r="X137" s="125">
        <v>30</v>
      </c>
      <c r="Y137" s="371">
        <v>12.873799999999999</v>
      </c>
      <c r="Z137" s="126">
        <v>227</v>
      </c>
      <c r="AA137" s="59" t="s">
        <v>230</v>
      </c>
      <c r="AB137" s="27">
        <v>231</v>
      </c>
      <c r="AC137" s="125">
        <v>30</v>
      </c>
      <c r="AD137" s="371">
        <v>11.03675</v>
      </c>
      <c r="AE137" s="122">
        <v>227</v>
      </c>
      <c r="AF137" s="59" t="s">
        <v>230</v>
      </c>
      <c r="AG137" s="27">
        <v>231</v>
      </c>
      <c r="AH137" s="125">
        <v>30</v>
      </c>
      <c r="AI137" s="371">
        <v>11.03675</v>
      </c>
      <c r="AJ137" s="126">
        <v>227</v>
      </c>
      <c r="AK137" s="59" t="s">
        <v>230</v>
      </c>
      <c r="AL137" s="27">
        <v>231</v>
      </c>
      <c r="AM137" s="125">
        <v>30</v>
      </c>
      <c r="AN137" s="371">
        <v>11.03675</v>
      </c>
      <c r="AO137" s="126">
        <v>227</v>
      </c>
      <c r="AP137" s="59" t="s">
        <v>230</v>
      </c>
      <c r="AQ137" s="27">
        <v>231</v>
      </c>
      <c r="AR137" s="125">
        <v>30</v>
      </c>
      <c r="AS137" s="371">
        <v>11.03675</v>
      </c>
    </row>
    <row r="138" spans="1:45" x14ac:dyDescent="0.25">
      <c r="A138" s="116" t="s">
        <v>219</v>
      </c>
      <c r="B138" s="117">
        <v>68.400000000000006</v>
      </c>
      <c r="C138" s="118">
        <v>612</v>
      </c>
      <c r="D138" s="119">
        <v>11.8</v>
      </c>
      <c r="E138" s="120">
        <v>0.52500000000000002</v>
      </c>
      <c r="F138" s="120" t="s">
        <v>514</v>
      </c>
      <c r="G138" s="120">
        <v>13.649221210167141</v>
      </c>
      <c r="H138" s="121">
        <v>30</v>
      </c>
      <c r="I138" s="343">
        <v>5.3077499999999995</v>
      </c>
      <c r="J138" s="121">
        <f t="shared" si="12"/>
        <v>40</v>
      </c>
      <c r="K138" s="125"/>
      <c r="L138" s="166"/>
      <c r="M138" s="166"/>
      <c r="N138" s="166"/>
      <c r="O138" s="166"/>
      <c r="P138" s="155"/>
      <c r="Q138" s="166"/>
      <c r="R138" s="166"/>
      <c r="S138" s="166"/>
      <c r="T138" s="166"/>
      <c r="U138" s="154">
        <v>292</v>
      </c>
      <c r="V138" s="59" t="s">
        <v>191</v>
      </c>
      <c r="W138" s="27">
        <v>310</v>
      </c>
      <c r="X138" s="125">
        <v>30</v>
      </c>
      <c r="Y138" s="371">
        <v>11.214000000000002</v>
      </c>
      <c r="Z138" s="126">
        <v>231</v>
      </c>
      <c r="AA138" s="59" t="s">
        <v>188</v>
      </c>
      <c r="AB138" s="27">
        <v>232</v>
      </c>
      <c r="AC138" s="125">
        <v>30</v>
      </c>
      <c r="AD138" s="371">
        <v>8.5679999999999996</v>
      </c>
      <c r="AE138" s="122">
        <v>231</v>
      </c>
      <c r="AF138" s="59" t="s">
        <v>188</v>
      </c>
      <c r="AG138" s="27">
        <v>232</v>
      </c>
      <c r="AH138" s="125">
        <v>30</v>
      </c>
      <c r="AI138" s="371">
        <v>8.5679999999999996</v>
      </c>
      <c r="AJ138" s="126">
        <v>231</v>
      </c>
      <c r="AK138" s="59" t="s">
        <v>188</v>
      </c>
      <c r="AL138" s="27">
        <v>232</v>
      </c>
      <c r="AM138" s="125">
        <v>30</v>
      </c>
      <c r="AN138" s="371">
        <v>8.5679999999999996</v>
      </c>
      <c r="AO138" s="126">
        <v>231</v>
      </c>
      <c r="AP138" s="59" t="s">
        <v>188</v>
      </c>
      <c r="AQ138" s="27">
        <v>232</v>
      </c>
      <c r="AR138" s="125">
        <v>30</v>
      </c>
      <c r="AS138" s="371">
        <v>8.5679999999999996</v>
      </c>
    </row>
    <row r="139" spans="1:45" x14ac:dyDescent="0.25">
      <c r="A139" s="116" t="s">
        <v>220</v>
      </c>
      <c r="B139" s="117">
        <v>78.8</v>
      </c>
      <c r="C139" s="118">
        <v>712</v>
      </c>
      <c r="D139" s="119">
        <v>13.5</v>
      </c>
      <c r="E139" s="120">
        <v>0.60499999999999998</v>
      </c>
      <c r="F139" s="120" t="s">
        <v>514</v>
      </c>
      <c r="G139" s="120">
        <v>13.76162271843185</v>
      </c>
      <c r="H139" s="121">
        <v>30</v>
      </c>
      <c r="I139" s="343">
        <v>6.0659999999999989</v>
      </c>
      <c r="J139" s="121">
        <f t="shared" si="12"/>
        <v>46</v>
      </c>
      <c r="K139" s="125"/>
      <c r="L139" s="166"/>
      <c r="M139" s="166"/>
      <c r="N139" s="166"/>
      <c r="O139" s="166"/>
      <c r="P139" s="155"/>
      <c r="Q139" s="166"/>
      <c r="R139" s="166"/>
      <c r="S139" s="166"/>
      <c r="T139" s="166"/>
      <c r="U139" s="154">
        <v>310</v>
      </c>
      <c r="V139" s="59" t="s">
        <v>233</v>
      </c>
      <c r="W139" s="27">
        <v>310</v>
      </c>
      <c r="X139" s="125">
        <v>30</v>
      </c>
      <c r="Y139" s="371">
        <v>13.640400000000001</v>
      </c>
      <c r="Z139" s="126">
        <v>232</v>
      </c>
      <c r="AA139" s="123" t="s">
        <v>163</v>
      </c>
      <c r="AB139" s="163">
        <v>235</v>
      </c>
      <c r="AC139" s="125">
        <v>30</v>
      </c>
      <c r="AD139" s="371">
        <v>10.473599999999999</v>
      </c>
      <c r="AE139" s="122">
        <v>232</v>
      </c>
      <c r="AF139" s="123" t="s">
        <v>163</v>
      </c>
      <c r="AG139" s="163">
        <v>235</v>
      </c>
      <c r="AH139" s="125">
        <v>30</v>
      </c>
      <c r="AI139" s="371">
        <v>10.473599999999999</v>
      </c>
      <c r="AJ139" s="126">
        <v>232</v>
      </c>
      <c r="AK139" s="123" t="s">
        <v>163</v>
      </c>
      <c r="AL139" s="163">
        <v>235</v>
      </c>
      <c r="AM139" s="125">
        <v>30</v>
      </c>
      <c r="AN139" s="371">
        <v>10.473599999999999</v>
      </c>
      <c r="AO139" s="126">
        <v>232</v>
      </c>
      <c r="AP139" s="123" t="s">
        <v>163</v>
      </c>
      <c r="AQ139" s="163">
        <v>235</v>
      </c>
      <c r="AR139" s="125">
        <v>30</v>
      </c>
      <c r="AS139" s="371">
        <v>10.473599999999999</v>
      </c>
    </row>
    <row r="140" spans="1:45" x14ac:dyDescent="0.25">
      <c r="A140" s="116" t="s">
        <v>221</v>
      </c>
      <c r="B140" s="117">
        <v>88.9</v>
      </c>
      <c r="C140" s="118">
        <v>800</v>
      </c>
      <c r="D140" s="119">
        <v>14.7</v>
      </c>
      <c r="E140" s="120">
        <v>0.56999999999999995</v>
      </c>
      <c r="F140" s="120" t="s">
        <v>514</v>
      </c>
      <c r="G140" s="120">
        <v>14.927557016718854</v>
      </c>
      <c r="H140" s="121">
        <v>30</v>
      </c>
      <c r="I140" s="343">
        <v>5.981749999999999</v>
      </c>
      <c r="J140" s="121">
        <f t="shared" si="12"/>
        <v>50</v>
      </c>
      <c r="K140" s="125"/>
      <c r="L140" s="166"/>
      <c r="M140" s="166"/>
      <c r="N140" s="166"/>
      <c r="O140" s="166"/>
      <c r="P140" s="155"/>
      <c r="Q140" s="166"/>
      <c r="R140" s="166"/>
      <c r="S140" s="166"/>
      <c r="T140" s="166"/>
      <c r="U140" s="154">
        <v>310</v>
      </c>
      <c r="V140" s="123" t="s">
        <v>166</v>
      </c>
      <c r="W140" s="163">
        <v>321</v>
      </c>
      <c r="X140" s="125">
        <v>30</v>
      </c>
      <c r="Y140" s="371">
        <v>14.019349999999999</v>
      </c>
      <c r="Z140" s="126">
        <v>235</v>
      </c>
      <c r="AA140" s="159" t="s">
        <v>279</v>
      </c>
      <c r="AB140" s="160">
        <v>243</v>
      </c>
      <c r="AC140" s="161">
        <v>36</v>
      </c>
      <c r="AD140" s="371">
        <v>12.460700000000001</v>
      </c>
      <c r="AE140" s="122">
        <v>235</v>
      </c>
      <c r="AF140" s="159" t="s">
        <v>279</v>
      </c>
      <c r="AG140" s="160">
        <v>243</v>
      </c>
      <c r="AH140" s="161">
        <v>36</v>
      </c>
      <c r="AI140" s="371">
        <v>12.460700000000001</v>
      </c>
      <c r="AJ140" s="126">
        <v>235</v>
      </c>
      <c r="AK140" s="159" t="s">
        <v>279</v>
      </c>
      <c r="AL140" s="160">
        <v>243</v>
      </c>
      <c r="AM140" s="161">
        <v>36</v>
      </c>
      <c r="AN140" s="371">
        <v>12.460700000000001</v>
      </c>
      <c r="AO140" s="126">
        <v>235</v>
      </c>
      <c r="AP140" s="159" t="s">
        <v>279</v>
      </c>
      <c r="AQ140" s="160">
        <v>243</v>
      </c>
      <c r="AR140" s="161">
        <v>36</v>
      </c>
      <c r="AS140" s="371">
        <v>12.460700000000001</v>
      </c>
    </row>
    <row r="141" spans="1:45" x14ac:dyDescent="0.25">
      <c r="A141" s="116" t="s">
        <v>222</v>
      </c>
      <c r="B141" s="117">
        <v>98.3</v>
      </c>
      <c r="C141" s="118">
        <v>890</v>
      </c>
      <c r="D141" s="119">
        <v>16.2</v>
      </c>
      <c r="E141" s="120">
        <v>0.63</v>
      </c>
      <c r="F141" s="120" t="s">
        <v>514</v>
      </c>
      <c r="G141" s="120">
        <v>15.016403716861392</v>
      </c>
      <c r="H141" s="121">
        <v>30</v>
      </c>
      <c r="I141" s="343">
        <v>6.5714999999999995</v>
      </c>
      <c r="J141" s="121">
        <f t="shared" si="12"/>
        <v>55</v>
      </c>
      <c r="K141" s="125"/>
      <c r="L141" s="166"/>
      <c r="M141" s="166"/>
      <c r="N141" s="166"/>
      <c r="O141" s="166"/>
      <c r="P141" s="155"/>
      <c r="Q141" s="166"/>
      <c r="R141" s="166"/>
      <c r="S141" s="166"/>
      <c r="T141" s="166"/>
      <c r="U141" s="154">
        <v>321</v>
      </c>
      <c r="V141" s="59" t="s">
        <v>192</v>
      </c>
      <c r="W141" s="27">
        <v>338</v>
      </c>
      <c r="X141" s="125">
        <v>30</v>
      </c>
      <c r="Y141" s="371">
        <v>12.348000000000001</v>
      </c>
      <c r="Z141" s="126">
        <v>243</v>
      </c>
      <c r="AA141" s="159" t="s">
        <v>261</v>
      </c>
      <c r="AB141" s="160">
        <v>245</v>
      </c>
      <c r="AC141" s="161">
        <v>36</v>
      </c>
      <c r="AD141" s="371">
        <v>12.413500000000001</v>
      </c>
      <c r="AE141" s="122">
        <v>243</v>
      </c>
      <c r="AF141" s="159" t="s">
        <v>261</v>
      </c>
      <c r="AG141" s="160">
        <v>245</v>
      </c>
      <c r="AH141" s="161">
        <v>36</v>
      </c>
      <c r="AI141" s="371">
        <v>12.413500000000001</v>
      </c>
      <c r="AJ141" s="126">
        <v>243</v>
      </c>
      <c r="AK141" s="159" t="s">
        <v>261</v>
      </c>
      <c r="AL141" s="160">
        <v>245</v>
      </c>
      <c r="AM141" s="161">
        <v>36</v>
      </c>
      <c r="AN141" s="371">
        <v>12.413500000000001</v>
      </c>
      <c r="AO141" s="126">
        <v>243</v>
      </c>
      <c r="AP141" s="159" t="s">
        <v>261</v>
      </c>
      <c r="AQ141" s="160">
        <v>245</v>
      </c>
      <c r="AR141" s="161">
        <v>36</v>
      </c>
      <c r="AS141" s="371">
        <v>12.413500000000001</v>
      </c>
    </row>
    <row r="142" spans="1:45" x14ac:dyDescent="0.25">
      <c r="A142" s="51" t="s">
        <v>223</v>
      </c>
      <c r="B142" s="117">
        <v>108</v>
      </c>
      <c r="C142" s="118">
        <v>984</v>
      </c>
      <c r="D142" s="119">
        <v>17.600000000000001</v>
      </c>
      <c r="E142" s="120">
        <v>0.69499999999999995</v>
      </c>
      <c r="F142" s="120" t="s">
        <v>514</v>
      </c>
      <c r="G142" s="120">
        <v>15.080128124443885</v>
      </c>
      <c r="H142" s="121">
        <v>30</v>
      </c>
      <c r="I142" s="343">
        <v>6.9927499999999991</v>
      </c>
      <c r="J142" s="121">
        <f t="shared" si="12"/>
        <v>60</v>
      </c>
      <c r="K142" s="125"/>
      <c r="L142" s="166"/>
      <c r="M142" s="166"/>
      <c r="N142" s="166"/>
      <c r="O142" s="166"/>
      <c r="P142" s="155"/>
      <c r="Q142" s="166"/>
      <c r="R142" s="166"/>
      <c r="S142" s="166"/>
      <c r="T142" s="166"/>
      <c r="U142" s="154">
        <v>338</v>
      </c>
      <c r="V142" s="59" t="s">
        <v>234</v>
      </c>
      <c r="W142" s="27">
        <v>344</v>
      </c>
      <c r="X142" s="125">
        <v>30</v>
      </c>
      <c r="Y142" s="371">
        <v>15.0054</v>
      </c>
      <c r="Z142" s="126">
        <v>245</v>
      </c>
      <c r="AA142" s="159" t="s">
        <v>250</v>
      </c>
      <c r="AB142" s="160">
        <v>249</v>
      </c>
      <c r="AC142" s="161">
        <v>36</v>
      </c>
      <c r="AD142" s="371">
        <v>10.868000000000002</v>
      </c>
      <c r="AE142" s="122">
        <v>245</v>
      </c>
      <c r="AF142" s="167" t="s">
        <v>296</v>
      </c>
      <c r="AG142" s="125">
        <v>245</v>
      </c>
      <c r="AH142" s="125">
        <v>42</v>
      </c>
      <c r="AI142" s="371">
        <v>13.3057</v>
      </c>
      <c r="AJ142" s="126">
        <v>245</v>
      </c>
      <c r="AK142" s="159" t="s">
        <v>296</v>
      </c>
      <c r="AL142" s="160">
        <v>245</v>
      </c>
      <c r="AM142" s="161">
        <v>42</v>
      </c>
      <c r="AN142" s="371">
        <v>13.3057</v>
      </c>
      <c r="AO142" s="126">
        <v>245</v>
      </c>
      <c r="AP142" s="159" t="s">
        <v>296</v>
      </c>
      <c r="AQ142" s="160">
        <v>245</v>
      </c>
      <c r="AR142" s="161">
        <v>42</v>
      </c>
      <c r="AS142" s="371">
        <v>13.3057</v>
      </c>
    </row>
    <row r="143" spans="1:45" x14ac:dyDescent="0.25">
      <c r="A143" s="51" t="s">
        <v>224</v>
      </c>
      <c r="B143" s="117">
        <v>117</v>
      </c>
      <c r="C143" s="118">
        <v>1070</v>
      </c>
      <c r="D143" s="119">
        <v>19.100000000000001</v>
      </c>
      <c r="E143" s="120">
        <v>0.75</v>
      </c>
      <c r="F143" s="120" t="s">
        <v>514</v>
      </c>
      <c r="G143" s="120">
        <v>15.185454030647335</v>
      </c>
      <c r="H143" s="121">
        <v>30</v>
      </c>
      <c r="I143" s="343">
        <v>7.5825000000000005</v>
      </c>
      <c r="J143" s="121">
        <f t="shared" si="12"/>
        <v>65</v>
      </c>
      <c r="K143" s="161"/>
      <c r="L143" s="166"/>
      <c r="M143" s="166"/>
      <c r="N143" s="166"/>
      <c r="O143" s="166"/>
      <c r="P143" s="155"/>
      <c r="Q143" s="166"/>
      <c r="R143" s="166"/>
      <c r="S143" s="166"/>
      <c r="T143" s="166"/>
      <c r="U143" s="154">
        <v>344</v>
      </c>
      <c r="V143" s="123" t="s">
        <v>167</v>
      </c>
      <c r="W143" s="163">
        <v>353</v>
      </c>
      <c r="X143" s="125">
        <v>30</v>
      </c>
      <c r="Y143" s="371">
        <v>15.21945</v>
      </c>
      <c r="Z143" s="126">
        <v>249</v>
      </c>
      <c r="AA143" s="59" t="s">
        <v>189</v>
      </c>
      <c r="AB143" s="27">
        <v>254</v>
      </c>
      <c r="AC143" s="125">
        <v>30</v>
      </c>
      <c r="AD143" s="371">
        <v>9.3870000000000005</v>
      </c>
      <c r="AE143" s="122">
        <v>245</v>
      </c>
      <c r="AF143" s="159" t="s">
        <v>250</v>
      </c>
      <c r="AG143" s="160">
        <v>249</v>
      </c>
      <c r="AH143" s="161">
        <v>36</v>
      </c>
      <c r="AI143" s="371">
        <v>10.868000000000002</v>
      </c>
      <c r="AJ143" s="126">
        <v>245</v>
      </c>
      <c r="AK143" s="159" t="s">
        <v>250</v>
      </c>
      <c r="AL143" s="160">
        <v>249</v>
      </c>
      <c r="AM143" s="161">
        <v>36</v>
      </c>
      <c r="AN143" s="371">
        <v>10.868000000000002</v>
      </c>
      <c r="AO143" s="126">
        <v>245</v>
      </c>
      <c r="AP143" s="159" t="s">
        <v>250</v>
      </c>
      <c r="AQ143" s="160">
        <v>249</v>
      </c>
      <c r="AR143" s="161">
        <v>36</v>
      </c>
      <c r="AS143" s="371">
        <v>10.868000000000002</v>
      </c>
    </row>
    <row r="144" spans="1:45" x14ac:dyDescent="0.25">
      <c r="A144" s="51" t="s">
        <v>225</v>
      </c>
      <c r="B144" s="117">
        <v>127</v>
      </c>
      <c r="C144" s="118">
        <v>1170</v>
      </c>
      <c r="D144" s="119">
        <v>20.8</v>
      </c>
      <c r="E144" s="120">
        <v>0.81</v>
      </c>
      <c r="F144" s="120" t="s">
        <v>514</v>
      </c>
      <c r="G144" s="120">
        <v>15.305863325881173</v>
      </c>
      <c r="H144" s="121">
        <v>30</v>
      </c>
      <c r="I144" s="343">
        <v>8.3407499999999981</v>
      </c>
      <c r="J144" s="121">
        <f t="shared" si="12"/>
        <v>71</v>
      </c>
      <c r="K144" s="161"/>
      <c r="L144" s="166"/>
      <c r="M144" s="166"/>
      <c r="N144" s="166"/>
      <c r="O144" s="166"/>
      <c r="P144" s="155"/>
      <c r="Q144" s="166"/>
      <c r="R144" s="166"/>
      <c r="S144" s="166"/>
      <c r="T144" s="166"/>
      <c r="U144" s="154">
        <v>353</v>
      </c>
      <c r="V144" s="59" t="s">
        <v>193</v>
      </c>
      <c r="W144" s="27">
        <v>375</v>
      </c>
      <c r="X144" s="125">
        <v>30</v>
      </c>
      <c r="Y144" s="371">
        <v>13.482000000000001</v>
      </c>
      <c r="Z144" s="126">
        <v>254</v>
      </c>
      <c r="AA144" s="59" t="s">
        <v>231</v>
      </c>
      <c r="AB144" s="27">
        <v>256</v>
      </c>
      <c r="AC144" s="125">
        <v>30</v>
      </c>
      <c r="AD144" s="371">
        <v>11.289500000000002</v>
      </c>
      <c r="AE144" s="122">
        <v>249</v>
      </c>
      <c r="AF144" s="59" t="s">
        <v>189</v>
      </c>
      <c r="AG144" s="27">
        <v>254</v>
      </c>
      <c r="AH144" s="125">
        <v>30</v>
      </c>
      <c r="AI144" s="371">
        <v>9.3870000000000005</v>
      </c>
      <c r="AJ144" s="126">
        <v>249</v>
      </c>
      <c r="AK144" s="59" t="s">
        <v>189</v>
      </c>
      <c r="AL144" s="27">
        <v>254</v>
      </c>
      <c r="AM144" s="125">
        <v>30</v>
      </c>
      <c r="AN144" s="371">
        <v>9.3870000000000005</v>
      </c>
      <c r="AO144" s="126">
        <v>249</v>
      </c>
      <c r="AP144" s="59" t="s">
        <v>189</v>
      </c>
      <c r="AQ144" s="27">
        <v>254</v>
      </c>
      <c r="AR144" s="125">
        <v>30</v>
      </c>
      <c r="AS144" s="371">
        <v>9.3870000000000005</v>
      </c>
    </row>
    <row r="145" spans="1:45" x14ac:dyDescent="0.25">
      <c r="A145" s="51" t="s">
        <v>226</v>
      </c>
      <c r="B145" s="117">
        <v>146</v>
      </c>
      <c r="C145" s="118">
        <v>1330</v>
      </c>
      <c r="D145" s="119">
        <v>22.3</v>
      </c>
      <c r="E145" s="120">
        <v>0.68</v>
      </c>
      <c r="F145" s="120" t="s">
        <v>512</v>
      </c>
      <c r="G145" s="120">
        <v>17.530546934775881</v>
      </c>
      <c r="H145" s="121">
        <v>30</v>
      </c>
      <c r="I145" s="343">
        <v>7.1612500000000008</v>
      </c>
      <c r="J145" s="121">
        <f t="shared" si="12"/>
        <v>76</v>
      </c>
      <c r="K145" s="161"/>
      <c r="L145" s="166"/>
      <c r="M145" s="166"/>
      <c r="N145" s="166"/>
      <c r="O145" s="166"/>
      <c r="P145" s="155"/>
      <c r="Q145" s="166"/>
      <c r="R145" s="166"/>
      <c r="S145" s="166"/>
      <c r="T145" s="166"/>
      <c r="U145" s="154">
        <v>375</v>
      </c>
      <c r="V145" s="59" t="s">
        <v>235</v>
      </c>
      <c r="W145" s="27">
        <v>380</v>
      </c>
      <c r="X145" s="125">
        <v>30</v>
      </c>
      <c r="Y145" s="371">
        <v>16.176000000000002</v>
      </c>
      <c r="Z145" s="126">
        <v>256</v>
      </c>
      <c r="AA145" s="159" t="s">
        <v>262</v>
      </c>
      <c r="AB145" s="160">
        <v>258</v>
      </c>
      <c r="AC145" s="161">
        <v>36</v>
      </c>
      <c r="AD145" s="371">
        <v>11.28</v>
      </c>
      <c r="AE145" s="122">
        <v>254</v>
      </c>
      <c r="AF145" s="59" t="s">
        <v>231</v>
      </c>
      <c r="AG145" s="27">
        <v>256</v>
      </c>
      <c r="AH145" s="125">
        <v>30</v>
      </c>
      <c r="AI145" s="371">
        <v>11.289500000000002</v>
      </c>
      <c r="AJ145" s="126">
        <v>254</v>
      </c>
      <c r="AK145" s="59" t="s">
        <v>231</v>
      </c>
      <c r="AL145" s="27">
        <v>256</v>
      </c>
      <c r="AM145" s="125">
        <v>30</v>
      </c>
      <c r="AN145" s="371">
        <v>11.289500000000002</v>
      </c>
      <c r="AO145" s="126">
        <v>254</v>
      </c>
      <c r="AP145" s="59" t="s">
        <v>231</v>
      </c>
      <c r="AQ145" s="27">
        <v>256</v>
      </c>
      <c r="AR145" s="125">
        <v>30</v>
      </c>
      <c r="AS145" s="371">
        <v>11.289500000000002</v>
      </c>
    </row>
    <row r="146" spans="1:45" x14ac:dyDescent="0.25">
      <c r="A146" s="51" t="s">
        <v>227</v>
      </c>
      <c r="B146" s="117">
        <v>166</v>
      </c>
      <c r="C146" s="118">
        <v>1530</v>
      </c>
      <c r="D146" s="119">
        <v>25.3</v>
      </c>
      <c r="E146" s="120">
        <v>0.77</v>
      </c>
      <c r="F146" s="120" t="s">
        <v>512</v>
      </c>
      <c r="G146" s="120">
        <v>17.692958931530725</v>
      </c>
      <c r="H146" s="121">
        <v>30</v>
      </c>
      <c r="I146" s="343">
        <v>8.088000000000001</v>
      </c>
      <c r="J146" s="121">
        <f t="shared" si="12"/>
        <v>86</v>
      </c>
      <c r="K146" s="161"/>
      <c r="L146" s="166"/>
      <c r="M146" s="166"/>
      <c r="N146" s="166"/>
      <c r="O146" s="166"/>
      <c r="P146" s="155"/>
      <c r="Q146" s="166"/>
      <c r="R146" s="166"/>
      <c r="S146" s="166"/>
      <c r="T146" s="166"/>
      <c r="U146" s="154">
        <v>380</v>
      </c>
      <c r="V146" s="123" t="s">
        <v>168</v>
      </c>
      <c r="W146" s="163">
        <v>393</v>
      </c>
      <c r="X146" s="125">
        <v>30</v>
      </c>
      <c r="Y146" s="371">
        <v>16.692299999999999</v>
      </c>
      <c r="Z146" s="126">
        <v>258</v>
      </c>
      <c r="AA146" s="123" t="s">
        <v>164</v>
      </c>
      <c r="AB146" s="163">
        <v>263</v>
      </c>
      <c r="AC146" s="125">
        <v>30</v>
      </c>
      <c r="AD146" s="371">
        <v>11.5646</v>
      </c>
      <c r="AE146" s="122">
        <v>256</v>
      </c>
      <c r="AF146" s="159" t="s">
        <v>262</v>
      </c>
      <c r="AG146" s="160">
        <v>258</v>
      </c>
      <c r="AH146" s="161">
        <v>36</v>
      </c>
      <c r="AI146" s="371">
        <v>11.28</v>
      </c>
      <c r="AJ146" s="126">
        <v>256</v>
      </c>
      <c r="AK146" s="159" t="s">
        <v>262</v>
      </c>
      <c r="AL146" s="160">
        <v>258</v>
      </c>
      <c r="AM146" s="161">
        <v>36</v>
      </c>
      <c r="AN146" s="371">
        <v>11.28</v>
      </c>
      <c r="AO146" s="126">
        <v>256</v>
      </c>
      <c r="AP146" s="159" t="s">
        <v>262</v>
      </c>
      <c r="AQ146" s="160">
        <v>258</v>
      </c>
      <c r="AR146" s="161">
        <v>36</v>
      </c>
      <c r="AS146" s="371">
        <v>11.28</v>
      </c>
    </row>
    <row r="147" spans="1:45" x14ac:dyDescent="0.25">
      <c r="A147" s="51" t="s">
        <v>228</v>
      </c>
      <c r="B147" s="117">
        <v>188</v>
      </c>
      <c r="C147" s="118">
        <v>1750</v>
      </c>
      <c r="D147" s="119">
        <v>28.5</v>
      </c>
      <c r="E147" s="120">
        <v>0.87</v>
      </c>
      <c r="F147" s="120" t="s">
        <v>512</v>
      </c>
      <c r="G147" s="120">
        <v>17.854484818875811</v>
      </c>
      <c r="H147" s="121">
        <v>30</v>
      </c>
      <c r="I147" s="343">
        <v>9.0147500000000012</v>
      </c>
      <c r="J147" s="121">
        <f t="shared" si="12"/>
        <v>97</v>
      </c>
      <c r="K147" s="161"/>
      <c r="L147" s="166"/>
      <c r="M147" s="166"/>
      <c r="N147" s="166"/>
      <c r="O147" s="166"/>
      <c r="P147" s="155"/>
      <c r="Q147" s="166"/>
      <c r="R147" s="166"/>
      <c r="S147" s="166"/>
      <c r="T147" s="166"/>
      <c r="U147" s="154">
        <v>393</v>
      </c>
      <c r="V147" s="59" t="s">
        <v>194</v>
      </c>
      <c r="W147" s="27">
        <v>415</v>
      </c>
      <c r="X147" s="125">
        <v>30</v>
      </c>
      <c r="Y147" s="371">
        <v>14.805</v>
      </c>
      <c r="Z147" s="126">
        <v>263</v>
      </c>
      <c r="AA147" s="159" t="s">
        <v>280</v>
      </c>
      <c r="AB147" s="160">
        <v>267</v>
      </c>
      <c r="AC147" s="161">
        <v>36</v>
      </c>
      <c r="AD147" s="371">
        <v>13.096450000000001</v>
      </c>
      <c r="AE147" s="122">
        <v>258</v>
      </c>
      <c r="AF147" s="123" t="s">
        <v>164</v>
      </c>
      <c r="AG147" s="163">
        <v>263</v>
      </c>
      <c r="AH147" s="125">
        <v>30</v>
      </c>
      <c r="AI147" s="371">
        <v>11.5646</v>
      </c>
      <c r="AJ147" s="126">
        <v>258</v>
      </c>
      <c r="AK147" s="123" t="s">
        <v>164</v>
      </c>
      <c r="AL147" s="163">
        <v>263</v>
      </c>
      <c r="AM147" s="125">
        <v>30</v>
      </c>
      <c r="AN147" s="371">
        <v>11.5646</v>
      </c>
      <c r="AO147" s="126">
        <v>258</v>
      </c>
      <c r="AP147" s="123" t="s">
        <v>164</v>
      </c>
      <c r="AQ147" s="163">
        <v>263</v>
      </c>
      <c r="AR147" s="125">
        <v>30</v>
      </c>
      <c r="AS147" s="371">
        <v>11.5646</v>
      </c>
    </row>
    <row r="148" spans="1:45" x14ac:dyDescent="0.25">
      <c r="A148" s="51" t="s">
        <v>229</v>
      </c>
      <c r="B148" s="117">
        <v>204</v>
      </c>
      <c r="C148" s="118">
        <v>1910</v>
      </c>
      <c r="D148" s="119">
        <v>31.1</v>
      </c>
      <c r="E148" s="120">
        <v>0.94</v>
      </c>
      <c r="F148" s="120" t="s">
        <v>512</v>
      </c>
      <c r="G148" s="120">
        <v>17.989069364524443</v>
      </c>
      <c r="H148" s="121">
        <v>30</v>
      </c>
      <c r="I148" s="343">
        <v>9.9414999999999996</v>
      </c>
      <c r="J148" s="121">
        <f t="shared" si="12"/>
        <v>106</v>
      </c>
      <c r="K148" s="161"/>
      <c r="L148" s="166"/>
      <c r="M148" s="166"/>
      <c r="N148" s="166"/>
      <c r="O148" s="166"/>
      <c r="P148" s="155"/>
      <c r="Q148" s="166"/>
      <c r="R148" s="166"/>
      <c r="S148" s="166"/>
      <c r="T148" s="166"/>
      <c r="U148" s="154">
        <v>415</v>
      </c>
      <c r="V148" s="59" t="s">
        <v>236</v>
      </c>
      <c r="W148" s="27">
        <v>419</v>
      </c>
      <c r="X148" s="125">
        <v>30</v>
      </c>
      <c r="Y148" s="371">
        <v>17.861000000000001</v>
      </c>
      <c r="Z148" s="126">
        <v>267</v>
      </c>
      <c r="AA148" s="159" t="s">
        <v>251</v>
      </c>
      <c r="AB148" s="160">
        <v>273</v>
      </c>
      <c r="AC148" s="161">
        <v>36</v>
      </c>
      <c r="AD148" s="371">
        <v>11.855999999999998</v>
      </c>
      <c r="AE148" s="122">
        <v>263</v>
      </c>
      <c r="AF148" s="159" t="s">
        <v>280</v>
      </c>
      <c r="AG148" s="160">
        <v>267</v>
      </c>
      <c r="AH148" s="161">
        <v>36</v>
      </c>
      <c r="AI148" s="371">
        <v>13.096450000000001</v>
      </c>
      <c r="AJ148" s="126">
        <v>263</v>
      </c>
      <c r="AK148" s="159" t="s">
        <v>280</v>
      </c>
      <c r="AL148" s="160">
        <v>267</v>
      </c>
      <c r="AM148" s="161">
        <v>36</v>
      </c>
      <c r="AN148" s="371">
        <v>13.096450000000001</v>
      </c>
      <c r="AO148" s="126">
        <v>263</v>
      </c>
      <c r="AP148" s="159" t="s">
        <v>280</v>
      </c>
      <c r="AQ148" s="160">
        <v>267</v>
      </c>
      <c r="AR148" s="161">
        <v>36</v>
      </c>
      <c r="AS148" s="371">
        <v>13.096450000000001</v>
      </c>
    </row>
    <row r="149" spans="1:45" x14ac:dyDescent="0.25">
      <c r="A149" s="51" t="s">
        <v>230</v>
      </c>
      <c r="B149" s="117">
        <v>231</v>
      </c>
      <c r="C149" s="118">
        <v>2190</v>
      </c>
      <c r="D149" s="119">
        <v>35.1</v>
      </c>
      <c r="E149" s="120">
        <v>1.06</v>
      </c>
      <c r="F149" s="120" t="s">
        <v>512</v>
      </c>
      <c r="G149" s="120">
        <v>18.192234071671173</v>
      </c>
      <c r="H149" s="121">
        <v>30</v>
      </c>
      <c r="I149" s="343">
        <v>11.03675</v>
      </c>
      <c r="J149" s="121">
        <f t="shared" si="12"/>
        <v>119</v>
      </c>
      <c r="K149" s="161"/>
      <c r="L149" s="166"/>
      <c r="M149" s="166"/>
      <c r="N149" s="166"/>
      <c r="O149" s="166"/>
      <c r="P149" s="155"/>
      <c r="Q149" s="166"/>
      <c r="R149" s="166"/>
      <c r="S149" s="166"/>
      <c r="T149" s="166"/>
      <c r="U149" s="154">
        <v>419</v>
      </c>
      <c r="V149" s="123" t="s">
        <v>169</v>
      </c>
      <c r="W149" s="163">
        <v>435</v>
      </c>
      <c r="X149" s="125">
        <v>30</v>
      </c>
      <c r="Y149" s="371">
        <v>17.728750000000002</v>
      </c>
      <c r="Z149" s="126">
        <v>273</v>
      </c>
      <c r="AA149" s="59" t="s">
        <v>190</v>
      </c>
      <c r="AB149" s="27">
        <v>281</v>
      </c>
      <c r="AC149" s="125">
        <v>30</v>
      </c>
      <c r="AD149" s="371">
        <v>10.458</v>
      </c>
      <c r="AE149" s="122">
        <v>267</v>
      </c>
      <c r="AF149" s="167" t="s">
        <v>297</v>
      </c>
      <c r="AG149" s="125">
        <v>269</v>
      </c>
      <c r="AH149" s="125">
        <v>42</v>
      </c>
      <c r="AI149" s="371">
        <v>14.7212</v>
      </c>
      <c r="AJ149" s="126">
        <v>267</v>
      </c>
      <c r="AK149" s="159" t="s">
        <v>297</v>
      </c>
      <c r="AL149" s="160">
        <v>269</v>
      </c>
      <c r="AM149" s="161">
        <v>42</v>
      </c>
      <c r="AN149" s="371">
        <v>14.7212</v>
      </c>
      <c r="AO149" s="126">
        <v>267</v>
      </c>
      <c r="AP149" s="159" t="s">
        <v>297</v>
      </c>
      <c r="AQ149" s="160">
        <v>269</v>
      </c>
      <c r="AR149" s="161">
        <v>42</v>
      </c>
      <c r="AS149" s="371">
        <v>14.7212</v>
      </c>
    </row>
    <row r="150" spans="1:45" x14ac:dyDescent="0.25">
      <c r="A150" s="51" t="s">
        <v>231</v>
      </c>
      <c r="B150" s="117">
        <v>256</v>
      </c>
      <c r="C150" s="118">
        <v>2460</v>
      </c>
      <c r="D150" s="119">
        <v>38.200000000000003</v>
      </c>
      <c r="E150" s="120">
        <v>1.2</v>
      </c>
      <c r="F150" s="120" t="s">
        <v>512</v>
      </c>
      <c r="G150" s="120">
        <v>18.210168959125902</v>
      </c>
      <c r="H150" s="121">
        <v>30</v>
      </c>
      <c r="I150" s="343">
        <v>11.289500000000002</v>
      </c>
      <c r="J150" s="121">
        <f t="shared" si="12"/>
        <v>130</v>
      </c>
      <c r="K150" s="161"/>
      <c r="L150" s="166"/>
      <c r="M150" s="166"/>
      <c r="N150" s="166"/>
      <c r="O150" s="166"/>
      <c r="P150" s="155"/>
      <c r="Q150" s="166"/>
      <c r="R150" s="166"/>
      <c r="S150" s="166"/>
      <c r="T150" s="166"/>
      <c r="U150" s="154">
        <v>435</v>
      </c>
      <c r="V150" s="59" t="s">
        <v>195</v>
      </c>
      <c r="W150" s="27">
        <v>459</v>
      </c>
      <c r="X150" s="125">
        <v>30</v>
      </c>
      <c r="Y150" s="371">
        <v>16.253999999999998</v>
      </c>
      <c r="Z150" s="126">
        <v>281</v>
      </c>
      <c r="AA150" s="59" t="s">
        <v>232</v>
      </c>
      <c r="AB150" s="27">
        <v>282</v>
      </c>
      <c r="AC150" s="125">
        <v>30</v>
      </c>
      <c r="AD150" s="371">
        <v>12.300499999999998</v>
      </c>
      <c r="AE150" s="122">
        <v>269</v>
      </c>
      <c r="AF150" s="159" t="s">
        <v>251</v>
      </c>
      <c r="AG150" s="160">
        <v>273</v>
      </c>
      <c r="AH150" s="161">
        <v>36</v>
      </c>
      <c r="AI150" s="371">
        <v>11.855999999999998</v>
      </c>
      <c r="AJ150" s="126">
        <v>269</v>
      </c>
      <c r="AK150" s="159" t="s">
        <v>251</v>
      </c>
      <c r="AL150" s="160">
        <v>273</v>
      </c>
      <c r="AM150" s="161">
        <v>36</v>
      </c>
      <c r="AN150" s="371">
        <v>11.855999999999998</v>
      </c>
      <c r="AO150" s="126">
        <v>269</v>
      </c>
      <c r="AP150" s="159" t="s">
        <v>251</v>
      </c>
      <c r="AQ150" s="160">
        <v>273</v>
      </c>
      <c r="AR150" s="161">
        <v>36</v>
      </c>
      <c r="AS150" s="371">
        <v>11.855999999999998</v>
      </c>
    </row>
    <row r="151" spans="1:45" x14ac:dyDescent="0.25">
      <c r="A151" s="51" t="s">
        <v>232</v>
      </c>
      <c r="B151" s="117">
        <v>282</v>
      </c>
      <c r="C151" s="118">
        <v>2750</v>
      </c>
      <c r="D151" s="119">
        <v>42.1</v>
      </c>
      <c r="E151" s="120">
        <v>1.32</v>
      </c>
      <c r="F151" s="120" t="s">
        <v>512</v>
      </c>
      <c r="G151" s="120">
        <v>18.387639852903582</v>
      </c>
      <c r="H151" s="121">
        <v>30</v>
      </c>
      <c r="I151" s="343">
        <v>12.300499999999998</v>
      </c>
      <c r="J151" s="121">
        <f t="shared" si="12"/>
        <v>143</v>
      </c>
      <c r="K151" s="161"/>
      <c r="L151" s="166"/>
      <c r="M151" s="166"/>
      <c r="N151" s="166"/>
      <c r="O151" s="166"/>
      <c r="P151" s="155"/>
      <c r="Q151" s="166"/>
      <c r="R151" s="166"/>
      <c r="S151" s="166"/>
      <c r="T151" s="166"/>
      <c r="U151" s="154">
        <v>459</v>
      </c>
      <c r="V151" s="123" t="s">
        <v>170</v>
      </c>
      <c r="W151" s="163">
        <v>483</v>
      </c>
      <c r="X151" s="125">
        <v>30</v>
      </c>
      <c r="Y151" s="371">
        <v>19.36525</v>
      </c>
      <c r="Z151" s="126">
        <v>282</v>
      </c>
      <c r="AA151" s="159" t="s">
        <v>263</v>
      </c>
      <c r="AB151" s="160">
        <v>291</v>
      </c>
      <c r="AC151" s="161">
        <v>36</v>
      </c>
      <c r="AD151" s="371">
        <v>12.408000000000003</v>
      </c>
      <c r="AE151" s="122">
        <v>273</v>
      </c>
      <c r="AF151" s="59" t="s">
        <v>190</v>
      </c>
      <c r="AG151" s="27">
        <v>281</v>
      </c>
      <c r="AH151" s="125">
        <v>30</v>
      </c>
      <c r="AI151" s="371">
        <v>10.458</v>
      </c>
      <c r="AJ151" s="126">
        <v>273</v>
      </c>
      <c r="AK151" s="59" t="s">
        <v>190</v>
      </c>
      <c r="AL151" s="27">
        <v>281</v>
      </c>
      <c r="AM151" s="125">
        <v>30</v>
      </c>
      <c r="AN151" s="371">
        <v>10.458</v>
      </c>
      <c r="AO151" s="126">
        <v>273</v>
      </c>
      <c r="AP151" s="59" t="s">
        <v>190</v>
      </c>
      <c r="AQ151" s="27">
        <v>281</v>
      </c>
      <c r="AR151" s="125">
        <v>30</v>
      </c>
      <c r="AS151" s="371">
        <v>10.458</v>
      </c>
    </row>
    <row r="152" spans="1:45" x14ac:dyDescent="0.25">
      <c r="A152" s="51" t="s">
        <v>233</v>
      </c>
      <c r="B152" s="117">
        <v>310</v>
      </c>
      <c r="C152" s="118">
        <v>3060</v>
      </c>
      <c r="D152" s="119">
        <v>46.3</v>
      </c>
      <c r="E152" s="120">
        <v>1.44</v>
      </c>
      <c r="F152" s="120" t="s">
        <v>512</v>
      </c>
      <c r="G152" s="120">
        <v>18.615746156953399</v>
      </c>
      <c r="H152" s="121">
        <v>30</v>
      </c>
      <c r="I152" s="343">
        <v>13.640400000000001</v>
      </c>
      <c r="J152" s="121">
        <f t="shared" si="12"/>
        <v>158</v>
      </c>
      <c r="K152" s="161"/>
      <c r="L152" s="166"/>
      <c r="M152" s="166"/>
      <c r="N152" s="166"/>
      <c r="O152" s="166"/>
      <c r="P152" s="155"/>
      <c r="Q152" s="166"/>
      <c r="R152" s="166"/>
      <c r="S152" s="166"/>
      <c r="T152" s="166"/>
      <c r="U152" s="154">
        <v>483</v>
      </c>
      <c r="V152" s="59" t="s">
        <v>196</v>
      </c>
      <c r="W152" s="27">
        <v>506</v>
      </c>
      <c r="X152" s="125">
        <v>30</v>
      </c>
      <c r="Y152" s="371">
        <v>17.766000000000002</v>
      </c>
      <c r="Z152" s="126">
        <v>291</v>
      </c>
      <c r="AA152" s="123" t="s">
        <v>165</v>
      </c>
      <c r="AB152" s="163">
        <v>292</v>
      </c>
      <c r="AC152" s="125">
        <v>30</v>
      </c>
      <c r="AD152" s="371">
        <v>12.873799999999999</v>
      </c>
      <c r="AE152" s="122">
        <v>281</v>
      </c>
      <c r="AF152" s="59" t="s">
        <v>232</v>
      </c>
      <c r="AG152" s="27">
        <v>282</v>
      </c>
      <c r="AH152" s="125">
        <v>30</v>
      </c>
      <c r="AI152" s="371">
        <v>12.300499999999998</v>
      </c>
      <c r="AJ152" s="126">
        <v>281</v>
      </c>
      <c r="AK152" s="59" t="s">
        <v>232</v>
      </c>
      <c r="AL152" s="27">
        <v>282</v>
      </c>
      <c r="AM152" s="125">
        <v>30</v>
      </c>
      <c r="AN152" s="371">
        <v>12.300499999999998</v>
      </c>
      <c r="AO152" s="126">
        <v>281</v>
      </c>
      <c r="AP152" s="59" t="s">
        <v>232</v>
      </c>
      <c r="AQ152" s="27">
        <v>282</v>
      </c>
      <c r="AR152" s="125">
        <v>30</v>
      </c>
      <c r="AS152" s="371">
        <v>12.300499999999998</v>
      </c>
    </row>
    <row r="153" spans="1:45" ht="15.75" thickBot="1" x14ac:dyDescent="0.3">
      <c r="A153" s="51" t="s">
        <v>234</v>
      </c>
      <c r="B153" s="117">
        <v>344</v>
      </c>
      <c r="C153" s="118">
        <v>3450</v>
      </c>
      <c r="D153" s="119">
        <v>51.3</v>
      </c>
      <c r="E153" s="120">
        <v>1.59</v>
      </c>
      <c r="F153" s="120" t="s">
        <v>512</v>
      </c>
      <c r="G153" s="120">
        <v>18.861335354742565</v>
      </c>
      <c r="H153" s="121">
        <v>30</v>
      </c>
      <c r="I153" s="343">
        <v>15.0054</v>
      </c>
      <c r="J153" s="121">
        <f t="shared" si="12"/>
        <v>175</v>
      </c>
      <c r="K153" s="161"/>
      <c r="L153" s="166"/>
      <c r="M153" s="166"/>
      <c r="N153" s="166"/>
      <c r="O153" s="166"/>
      <c r="P153" s="155"/>
      <c r="Q153" s="166"/>
      <c r="R153" s="166"/>
      <c r="S153" s="166"/>
      <c r="T153" s="166"/>
      <c r="U153" s="154">
        <v>506</v>
      </c>
      <c r="V153" s="72" t="s">
        <v>197</v>
      </c>
      <c r="W153" s="168">
        <v>559</v>
      </c>
      <c r="X153" s="150">
        <v>30</v>
      </c>
      <c r="Y153" s="385">
        <v>19.403999999999996</v>
      </c>
      <c r="Z153" s="126">
        <v>292</v>
      </c>
      <c r="AA153" s="159" t="s">
        <v>252</v>
      </c>
      <c r="AB153" s="160">
        <v>295</v>
      </c>
      <c r="AC153" s="161">
        <v>36</v>
      </c>
      <c r="AD153" s="371">
        <v>12.843999999999999</v>
      </c>
      <c r="AE153" s="122">
        <v>282</v>
      </c>
      <c r="AF153" s="159" t="s">
        <v>263</v>
      </c>
      <c r="AG153" s="160">
        <v>291</v>
      </c>
      <c r="AH153" s="161">
        <v>36</v>
      </c>
      <c r="AI153" s="371">
        <v>12.408000000000003</v>
      </c>
      <c r="AJ153" s="126">
        <v>282</v>
      </c>
      <c r="AK153" s="159" t="s">
        <v>263</v>
      </c>
      <c r="AL153" s="160">
        <v>291</v>
      </c>
      <c r="AM153" s="161">
        <v>36</v>
      </c>
      <c r="AN153" s="371">
        <v>12.408000000000003</v>
      </c>
      <c r="AO153" s="126">
        <v>282</v>
      </c>
      <c r="AP153" s="159" t="s">
        <v>263</v>
      </c>
      <c r="AQ153" s="160">
        <v>291</v>
      </c>
      <c r="AR153" s="161">
        <v>36</v>
      </c>
      <c r="AS153" s="371">
        <v>12.408000000000003</v>
      </c>
    </row>
    <row r="154" spans="1:45" ht="15.75" thickBot="1" x14ac:dyDescent="0.3">
      <c r="A154" s="51" t="s">
        <v>235</v>
      </c>
      <c r="B154" s="117">
        <v>380</v>
      </c>
      <c r="C154" s="118">
        <v>3870</v>
      </c>
      <c r="D154" s="119">
        <v>56.4</v>
      </c>
      <c r="E154" s="120">
        <v>1.75</v>
      </c>
      <c r="F154" s="120" t="s">
        <v>512</v>
      </c>
      <c r="G154" s="120">
        <v>19.107592170166161</v>
      </c>
      <c r="H154" s="121">
        <v>30</v>
      </c>
      <c r="I154" s="343">
        <v>16.176000000000002</v>
      </c>
      <c r="J154" s="121">
        <f t="shared" si="12"/>
        <v>192</v>
      </c>
      <c r="K154" s="161"/>
      <c r="L154" s="166"/>
      <c r="M154" s="166"/>
      <c r="N154" s="166"/>
      <c r="O154" s="166"/>
      <c r="P154" s="155"/>
      <c r="Q154" s="166"/>
      <c r="R154" s="166"/>
      <c r="S154" s="166"/>
      <c r="T154" s="166"/>
      <c r="U154" s="165">
        <v>559</v>
      </c>
      <c r="V154" s="80" t="s">
        <v>353</v>
      </c>
      <c r="W154" s="153"/>
      <c r="X154" s="153"/>
      <c r="Y154" s="377"/>
      <c r="Z154" s="154">
        <v>295</v>
      </c>
      <c r="AA154" s="159" t="s">
        <v>281</v>
      </c>
      <c r="AB154" s="160">
        <v>299</v>
      </c>
      <c r="AC154" s="161">
        <v>36</v>
      </c>
      <c r="AD154" s="371">
        <v>14.495099999999999</v>
      </c>
      <c r="AE154" s="122">
        <v>291</v>
      </c>
      <c r="AF154" s="123" t="s">
        <v>165</v>
      </c>
      <c r="AG154" s="163">
        <v>292</v>
      </c>
      <c r="AH154" s="125">
        <v>30</v>
      </c>
      <c r="AI154" s="371">
        <v>12.873799999999999</v>
      </c>
      <c r="AJ154" s="126">
        <v>291</v>
      </c>
      <c r="AK154" s="123" t="s">
        <v>165</v>
      </c>
      <c r="AL154" s="163">
        <v>292</v>
      </c>
      <c r="AM154" s="125">
        <v>30</v>
      </c>
      <c r="AN154" s="371">
        <v>12.873799999999999</v>
      </c>
      <c r="AO154" s="126">
        <v>291</v>
      </c>
      <c r="AP154" s="123" t="s">
        <v>165</v>
      </c>
      <c r="AQ154" s="163">
        <v>292</v>
      </c>
      <c r="AR154" s="125">
        <v>30</v>
      </c>
      <c r="AS154" s="371">
        <v>12.873799999999999</v>
      </c>
    </row>
    <row r="155" spans="1:45" x14ac:dyDescent="0.25">
      <c r="A155" s="51" t="s">
        <v>236</v>
      </c>
      <c r="B155" s="117">
        <v>419</v>
      </c>
      <c r="C155" s="118">
        <v>4330</v>
      </c>
      <c r="D155" s="119">
        <v>62.1</v>
      </c>
      <c r="E155" s="120">
        <v>1.91</v>
      </c>
      <c r="F155" s="120" t="s">
        <v>512</v>
      </c>
      <c r="G155" s="120">
        <v>19.407249509781821</v>
      </c>
      <c r="H155" s="121">
        <v>30</v>
      </c>
      <c r="I155" s="343">
        <v>17.861000000000001</v>
      </c>
      <c r="J155" s="121">
        <f t="shared" si="12"/>
        <v>211</v>
      </c>
      <c r="K155" s="161"/>
      <c r="L155" s="166"/>
      <c r="M155" s="166"/>
      <c r="N155" s="166"/>
      <c r="O155" s="166"/>
      <c r="P155" s="155"/>
      <c r="Q155" s="166"/>
      <c r="R155" s="166"/>
      <c r="S155" s="166"/>
      <c r="T155" s="166"/>
      <c r="U155" s="166"/>
      <c r="V155" s="166"/>
      <c r="W155" s="166"/>
      <c r="X155" s="166"/>
      <c r="Y155" s="166"/>
      <c r="Z155" s="154">
        <v>299</v>
      </c>
      <c r="AA155" s="59" t="s">
        <v>191</v>
      </c>
      <c r="AB155" s="27">
        <v>310</v>
      </c>
      <c r="AC155" s="125">
        <v>30</v>
      </c>
      <c r="AD155" s="371">
        <v>11.214000000000002</v>
      </c>
      <c r="AE155" s="122">
        <v>292</v>
      </c>
      <c r="AF155" s="159" t="s">
        <v>252</v>
      </c>
      <c r="AG155" s="160">
        <v>295</v>
      </c>
      <c r="AH155" s="161">
        <v>36</v>
      </c>
      <c r="AI155" s="371">
        <v>12.843999999999999</v>
      </c>
      <c r="AJ155" s="126">
        <v>292</v>
      </c>
      <c r="AK155" s="159" t="s">
        <v>252</v>
      </c>
      <c r="AL155" s="160">
        <v>295</v>
      </c>
      <c r="AM155" s="161">
        <v>36</v>
      </c>
      <c r="AN155" s="371">
        <v>12.843999999999999</v>
      </c>
      <c r="AO155" s="126">
        <v>292</v>
      </c>
      <c r="AP155" s="159" t="s">
        <v>252</v>
      </c>
      <c r="AQ155" s="160">
        <v>295</v>
      </c>
      <c r="AR155" s="161">
        <v>36</v>
      </c>
      <c r="AS155" s="371">
        <v>12.843999999999999</v>
      </c>
    </row>
    <row r="156" spans="1:45" x14ac:dyDescent="0.25">
      <c r="A156" s="51" t="s">
        <v>237</v>
      </c>
      <c r="B156" s="117">
        <v>466</v>
      </c>
      <c r="C156" s="118">
        <v>4900</v>
      </c>
      <c r="D156" s="119">
        <v>68.8</v>
      </c>
      <c r="E156" s="120">
        <v>2.11</v>
      </c>
      <c r="F156" s="120" t="s">
        <v>512</v>
      </c>
      <c r="G156" s="120">
        <v>19.728796777088242</v>
      </c>
      <c r="H156" s="121">
        <v>36</v>
      </c>
      <c r="I156" s="343">
        <v>19.534399999999998</v>
      </c>
      <c r="J156" s="121">
        <f t="shared" si="12"/>
        <v>234</v>
      </c>
      <c r="K156" s="161"/>
      <c r="L156" s="166"/>
      <c r="M156" s="166"/>
      <c r="N156" s="166"/>
      <c r="O156" s="166"/>
      <c r="P156" s="155"/>
      <c r="Q156" s="166"/>
      <c r="R156" s="166"/>
      <c r="S156" s="166"/>
      <c r="T156" s="166"/>
      <c r="U156" s="166"/>
      <c r="V156" s="166"/>
      <c r="W156" s="166"/>
      <c r="X156" s="166"/>
      <c r="Y156" s="166"/>
      <c r="Z156" s="154">
        <v>310</v>
      </c>
      <c r="AA156" s="59" t="s">
        <v>233</v>
      </c>
      <c r="AB156" s="27">
        <v>310</v>
      </c>
      <c r="AC156" s="125">
        <v>30</v>
      </c>
      <c r="AD156" s="371">
        <v>13.640400000000001</v>
      </c>
      <c r="AE156" s="122">
        <v>295</v>
      </c>
      <c r="AF156" s="159" t="s">
        <v>281</v>
      </c>
      <c r="AG156" s="160">
        <v>299</v>
      </c>
      <c r="AH156" s="161">
        <v>36</v>
      </c>
      <c r="AI156" s="371">
        <v>14.495099999999999</v>
      </c>
      <c r="AJ156" s="126">
        <v>295</v>
      </c>
      <c r="AK156" s="159" t="s">
        <v>281</v>
      </c>
      <c r="AL156" s="160">
        <v>299</v>
      </c>
      <c r="AM156" s="161">
        <v>36</v>
      </c>
      <c r="AN156" s="371">
        <v>14.495099999999999</v>
      </c>
      <c r="AO156" s="126">
        <v>295</v>
      </c>
      <c r="AP156" s="159" t="s">
        <v>281</v>
      </c>
      <c r="AQ156" s="160">
        <v>299</v>
      </c>
      <c r="AR156" s="161">
        <v>36</v>
      </c>
      <c r="AS156" s="371">
        <v>14.495099999999999</v>
      </c>
    </row>
    <row r="157" spans="1:45" x14ac:dyDescent="0.25">
      <c r="A157" s="51" t="s">
        <v>238</v>
      </c>
      <c r="B157" s="117">
        <v>514</v>
      </c>
      <c r="C157" s="118">
        <v>5510</v>
      </c>
      <c r="D157" s="119">
        <v>75.900000000000006</v>
      </c>
      <c r="E157" s="120">
        <v>2.2999999999999998</v>
      </c>
      <c r="F157" s="120" t="s">
        <v>512</v>
      </c>
      <c r="G157" s="120">
        <v>20.07814387119803</v>
      </c>
      <c r="H157" s="121">
        <v>36</v>
      </c>
      <c r="I157" s="343">
        <v>21.5808</v>
      </c>
      <c r="J157" s="121">
        <f t="shared" si="12"/>
        <v>258</v>
      </c>
      <c r="K157" s="161"/>
      <c r="L157" s="166"/>
      <c r="M157" s="166"/>
      <c r="N157" s="166"/>
      <c r="O157" s="166"/>
      <c r="P157" s="155"/>
      <c r="Q157" s="166"/>
      <c r="R157" s="166"/>
      <c r="S157" s="166"/>
      <c r="T157" s="166"/>
      <c r="U157" s="166"/>
      <c r="V157" s="166"/>
      <c r="W157" s="166"/>
      <c r="X157" s="166"/>
      <c r="Y157" s="166"/>
      <c r="Z157" s="154">
        <v>310</v>
      </c>
      <c r="AA157" s="123" t="s">
        <v>166</v>
      </c>
      <c r="AB157" s="163">
        <v>321</v>
      </c>
      <c r="AC157" s="125">
        <v>30</v>
      </c>
      <c r="AD157" s="371">
        <v>14.019349999999999</v>
      </c>
      <c r="AE157" s="122">
        <v>299</v>
      </c>
      <c r="AF157" s="167" t="s">
        <v>298</v>
      </c>
      <c r="AG157" s="125">
        <v>299</v>
      </c>
      <c r="AH157" s="125">
        <v>42</v>
      </c>
      <c r="AI157" s="371">
        <v>15.42895</v>
      </c>
      <c r="AJ157" s="126">
        <v>299</v>
      </c>
      <c r="AK157" s="159" t="s">
        <v>298</v>
      </c>
      <c r="AL157" s="160">
        <v>299</v>
      </c>
      <c r="AM157" s="161">
        <v>42</v>
      </c>
      <c r="AN157" s="371">
        <v>15.42895</v>
      </c>
      <c r="AO157" s="126">
        <v>299</v>
      </c>
      <c r="AP157" s="159" t="s">
        <v>298</v>
      </c>
      <c r="AQ157" s="160">
        <v>299</v>
      </c>
      <c r="AR157" s="161">
        <v>42</v>
      </c>
      <c r="AS157" s="371">
        <v>15.42895</v>
      </c>
    </row>
    <row r="158" spans="1:45" x14ac:dyDescent="0.25">
      <c r="A158" s="51" t="s">
        <v>239</v>
      </c>
      <c r="B158" s="117">
        <v>564</v>
      </c>
      <c r="C158" s="118">
        <v>6160</v>
      </c>
      <c r="D158" s="119">
        <v>83.2</v>
      </c>
      <c r="E158" s="120">
        <v>2.5</v>
      </c>
      <c r="F158" s="120" t="s">
        <v>512</v>
      </c>
      <c r="G158" s="120">
        <v>20.418388047342322</v>
      </c>
      <c r="H158" s="121">
        <v>36</v>
      </c>
      <c r="I158" s="343">
        <v>23.59</v>
      </c>
      <c r="J158" s="121">
        <f t="shared" si="12"/>
        <v>283</v>
      </c>
      <c r="K158" s="161"/>
      <c r="L158" s="166"/>
      <c r="M158" s="166"/>
      <c r="N158" s="166"/>
      <c r="O158" s="166"/>
      <c r="P158" s="155"/>
      <c r="Q158" s="166"/>
      <c r="R158" s="166"/>
      <c r="S158" s="166"/>
      <c r="T158" s="166"/>
      <c r="U158" s="166"/>
      <c r="V158" s="166"/>
      <c r="W158" s="166"/>
      <c r="X158" s="166"/>
      <c r="Y158" s="166"/>
      <c r="Z158" s="154">
        <v>321</v>
      </c>
      <c r="AA158" s="159" t="s">
        <v>253</v>
      </c>
      <c r="AB158" s="160">
        <v>329</v>
      </c>
      <c r="AC158" s="161">
        <v>36</v>
      </c>
      <c r="AD158" s="371">
        <v>14.227199999999998</v>
      </c>
      <c r="AE158" s="122">
        <v>299</v>
      </c>
      <c r="AF158" s="59" t="s">
        <v>191</v>
      </c>
      <c r="AG158" s="27">
        <v>310</v>
      </c>
      <c r="AH158" s="125">
        <v>30</v>
      </c>
      <c r="AI158" s="371">
        <v>11.214000000000002</v>
      </c>
      <c r="AJ158" s="126">
        <v>299</v>
      </c>
      <c r="AK158" s="59" t="s">
        <v>191</v>
      </c>
      <c r="AL158" s="27">
        <v>310</v>
      </c>
      <c r="AM158" s="125">
        <v>30</v>
      </c>
      <c r="AN158" s="371">
        <v>11.214000000000002</v>
      </c>
      <c r="AO158" s="126">
        <v>299</v>
      </c>
      <c r="AP158" s="59" t="s">
        <v>191</v>
      </c>
      <c r="AQ158" s="27">
        <v>310</v>
      </c>
      <c r="AR158" s="125">
        <v>30</v>
      </c>
      <c r="AS158" s="371">
        <v>11.214000000000002</v>
      </c>
    </row>
    <row r="159" spans="1:45" ht="15.75" thickBot="1" x14ac:dyDescent="0.3">
      <c r="A159" s="52" t="s">
        <v>240</v>
      </c>
      <c r="B159" s="130">
        <v>624</v>
      </c>
      <c r="C159" s="131">
        <v>6960</v>
      </c>
      <c r="D159" s="132">
        <v>91.5</v>
      </c>
      <c r="E159" s="133">
        <v>2.74</v>
      </c>
      <c r="F159" s="133" t="s">
        <v>512</v>
      </c>
      <c r="G159" s="133">
        <v>20.807375000397698</v>
      </c>
      <c r="H159" s="134">
        <v>36</v>
      </c>
      <c r="I159" s="344">
        <v>25.596800000000002</v>
      </c>
      <c r="J159" s="134">
        <f t="shared" si="12"/>
        <v>311</v>
      </c>
      <c r="K159" s="161"/>
      <c r="L159" s="166"/>
      <c r="M159" s="166"/>
      <c r="N159" s="166"/>
      <c r="O159" s="166"/>
      <c r="P159" s="155"/>
      <c r="Q159" s="166"/>
      <c r="R159" s="166"/>
      <c r="S159" s="166"/>
      <c r="T159" s="166"/>
      <c r="U159" s="166"/>
      <c r="V159" s="166"/>
      <c r="W159" s="166"/>
      <c r="X159" s="166"/>
      <c r="Y159" s="166"/>
      <c r="Z159" s="154">
        <v>329</v>
      </c>
      <c r="AA159" s="159" t="s">
        <v>264</v>
      </c>
      <c r="AB159" s="160">
        <v>329</v>
      </c>
      <c r="AC159" s="161">
        <v>36</v>
      </c>
      <c r="AD159" s="371">
        <v>13.648800000000001</v>
      </c>
      <c r="AE159" s="122">
        <v>310</v>
      </c>
      <c r="AF159" s="59" t="s">
        <v>233</v>
      </c>
      <c r="AG159" s="27">
        <v>310</v>
      </c>
      <c r="AH159" s="125">
        <v>30</v>
      </c>
      <c r="AI159" s="371">
        <v>13.640400000000001</v>
      </c>
      <c r="AJ159" s="126">
        <v>310</v>
      </c>
      <c r="AK159" s="59" t="s">
        <v>233</v>
      </c>
      <c r="AL159" s="27">
        <v>310</v>
      </c>
      <c r="AM159" s="125">
        <v>30</v>
      </c>
      <c r="AN159" s="371">
        <v>13.640400000000001</v>
      </c>
      <c r="AO159" s="126">
        <v>310</v>
      </c>
      <c r="AP159" s="59" t="s">
        <v>233</v>
      </c>
      <c r="AQ159" s="27">
        <v>310</v>
      </c>
      <c r="AR159" s="125">
        <v>30</v>
      </c>
      <c r="AS159" s="371">
        <v>13.640400000000001</v>
      </c>
    </row>
    <row r="160" spans="1:45" x14ac:dyDescent="0.25">
      <c r="A160" s="169" t="s">
        <v>241</v>
      </c>
      <c r="B160" s="170">
        <v>81.599999999999994</v>
      </c>
      <c r="C160" s="171">
        <v>843</v>
      </c>
      <c r="D160" s="107">
        <v>13</v>
      </c>
      <c r="E160" s="108">
        <v>0.45</v>
      </c>
      <c r="F160" s="108" t="s">
        <v>514</v>
      </c>
      <c r="G160" s="172">
        <v>15.858559067649292</v>
      </c>
      <c r="H160" s="173">
        <v>30</v>
      </c>
      <c r="I160" s="346">
        <v>6.9160000000000004</v>
      </c>
      <c r="J160" s="173">
        <f t="shared" si="12"/>
        <v>44</v>
      </c>
      <c r="K160" s="161"/>
      <c r="L160" s="166"/>
      <c r="M160" s="166"/>
      <c r="N160" s="166"/>
      <c r="O160" s="166"/>
      <c r="P160" s="155"/>
      <c r="Q160" s="166"/>
      <c r="R160" s="166"/>
      <c r="S160" s="166"/>
      <c r="T160" s="166"/>
      <c r="U160" s="166"/>
      <c r="V160" s="166"/>
      <c r="W160" s="166"/>
      <c r="X160" s="166"/>
      <c r="Y160" s="166"/>
      <c r="Z160" s="154">
        <v>329</v>
      </c>
      <c r="AA160" s="59" t="s">
        <v>192</v>
      </c>
      <c r="AB160" s="27">
        <v>338</v>
      </c>
      <c r="AC160" s="125">
        <v>30</v>
      </c>
      <c r="AD160" s="371">
        <v>12.348000000000001</v>
      </c>
      <c r="AE160" s="122">
        <v>310</v>
      </c>
      <c r="AF160" s="123" t="s">
        <v>166</v>
      </c>
      <c r="AG160" s="163">
        <v>321</v>
      </c>
      <c r="AH160" s="125">
        <v>30</v>
      </c>
      <c r="AI160" s="371">
        <v>14.019349999999999</v>
      </c>
      <c r="AJ160" s="126">
        <v>310</v>
      </c>
      <c r="AK160" s="123" t="s">
        <v>166</v>
      </c>
      <c r="AL160" s="163">
        <v>321</v>
      </c>
      <c r="AM160" s="125">
        <v>30</v>
      </c>
      <c r="AN160" s="371">
        <v>14.019349999999999</v>
      </c>
      <c r="AO160" s="126">
        <v>310</v>
      </c>
      <c r="AP160" s="123" t="s">
        <v>166</v>
      </c>
      <c r="AQ160" s="163">
        <v>321</v>
      </c>
      <c r="AR160" s="125">
        <v>30</v>
      </c>
      <c r="AS160" s="371">
        <v>14.019349999999999</v>
      </c>
    </row>
    <row r="161" spans="1:45" x14ac:dyDescent="0.25">
      <c r="A161" s="174" t="s">
        <v>242</v>
      </c>
      <c r="B161" s="175">
        <v>94.5</v>
      </c>
      <c r="C161" s="176">
        <v>984</v>
      </c>
      <c r="D161" s="119">
        <v>14.7</v>
      </c>
      <c r="E161" s="120">
        <v>0.53500000000000003</v>
      </c>
      <c r="F161" s="120" t="s">
        <v>514</v>
      </c>
      <c r="G161" s="177">
        <v>15.783152531192535</v>
      </c>
      <c r="H161" s="178">
        <v>30</v>
      </c>
      <c r="I161" s="347">
        <v>7.508799999999999</v>
      </c>
      <c r="J161" s="178">
        <f t="shared" si="12"/>
        <v>50</v>
      </c>
      <c r="K161" s="161"/>
      <c r="L161" s="166"/>
      <c r="M161" s="166"/>
      <c r="N161" s="166"/>
      <c r="O161" s="166"/>
      <c r="P161" s="155"/>
      <c r="Q161" s="166"/>
      <c r="R161" s="166"/>
      <c r="S161" s="166"/>
      <c r="T161" s="166"/>
      <c r="U161" s="166"/>
      <c r="V161" s="166"/>
      <c r="W161" s="166"/>
      <c r="X161" s="166"/>
      <c r="Y161" s="166"/>
      <c r="Z161" s="154">
        <v>338</v>
      </c>
      <c r="AA161" s="59" t="s">
        <v>234</v>
      </c>
      <c r="AB161" s="27">
        <v>344</v>
      </c>
      <c r="AC161" s="125">
        <v>30</v>
      </c>
      <c r="AD161" s="371">
        <v>15.0054</v>
      </c>
      <c r="AE161" s="122">
        <v>321</v>
      </c>
      <c r="AF161" s="159" t="s">
        <v>253</v>
      </c>
      <c r="AG161" s="160">
        <v>329</v>
      </c>
      <c r="AH161" s="161">
        <v>36</v>
      </c>
      <c r="AI161" s="371">
        <v>14.227199999999998</v>
      </c>
      <c r="AJ161" s="126">
        <v>321</v>
      </c>
      <c r="AK161" s="159" t="s">
        <v>253</v>
      </c>
      <c r="AL161" s="160">
        <v>329</v>
      </c>
      <c r="AM161" s="161">
        <v>36</v>
      </c>
      <c r="AN161" s="371">
        <v>14.227199999999998</v>
      </c>
      <c r="AO161" s="126">
        <v>321</v>
      </c>
      <c r="AP161" s="159" t="s">
        <v>253</v>
      </c>
      <c r="AQ161" s="160">
        <v>329</v>
      </c>
      <c r="AR161" s="161">
        <v>36</v>
      </c>
      <c r="AS161" s="371">
        <v>14.227199999999998</v>
      </c>
    </row>
    <row r="162" spans="1:45" x14ac:dyDescent="0.25">
      <c r="A162" s="174" t="s">
        <v>243</v>
      </c>
      <c r="B162" s="175">
        <v>111</v>
      </c>
      <c r="C162" s="176">
        <v>1170</v>
      </c>
      <c r="D162" s="179">
        <v>16.7</v>
      </c>
      <c r="E162" s="120">
        <v>0.65</v>
      </c>
      <c r="F162" s="120" t="s">
        <v>514</v>
      </c>
      <c r="G162" s="177">
        <v>15.696662371728648</v>
      </c>
      <c r="H162" s="178">
        <v>30</v>
      </c>
      <c r="I162" s="347">
        <v>8.0028000000000006</v>
      </c>
      <c r="J162" s="178">
        <f t="shared" si="12"/>
        <v>57</v>
      </c>
      <c r="K162" s="161"/>
      <c r="L162" s="166"/>
      <c r="M162" s="166"/>
      <c r="N162" s="166"/>
      <c r="O162" s="166"/>
      <c r="P162" s="155"/>
      <c r="Q162" s="166"/>
      <c r="R162" s="166"/>
      <c r="S162" s="166"/>
      <c r="T162" s="166"/>
      <c r="U162" s="166"/>
      <c r="V162" s="166"/>
      <c r="W162" s="166"/>
      <c r="X162" s="166"/>
      <c r="Y162" s="166"/>
      <c r="Z162" s="154">
        <v>344</v>
      </c>
      <c r="AA162" s="159" t="s">
        <v>282</v>
      </c>
      <c r="AB162" s="160">
        <v>345</v>
      </c>
      <c r="AC162" s="161">
        <v>36</v>
      </c>
      <c r="AD162" s="371">
        <v>15.5123</v>
      </c>
      <c r="AE162" s="122">
        <v>329</v>
      </c>
      <c r="AF162" s="159" t="s">
        <v>264</v>
      </c>
      <c r="AG162" s="160">
        <v>329</v>
      </c>
      <c r="AH162" s="161">
        <v>36</v>
      </c>
      <c r="AI162" s="371">
        <v>13.648800000000001</v>
      </c>
      <c r="AJ162" s="126">
        <v>329</v>
      </c>
      <c r="AK162" s="159" t="s">
        <v>264</v>
      </c>
      <c r="AL162" s="160">
        <v>329</v>
      </c>
      <c r="AM162" s="161">
        <v>36</v>
      </c>
      <c r="AN162" s="371">
        <v>13.648800000000001</v>
      </c>
      <c r="AO162" s="126">
        <v>329</v>
      </c>
      <c r="AP162" s="159" t="s">
        <v>264</v>
      </c>
      <c r="AQ162" s="160">
        <v>329</v>
      </c>
      <c r="AR162" s="161">
        <v>36</v>
      </c>
      <c r="AS162" s="371">
        <v>13.648800000000001</v>
      </c>
    </row>
    <row r="163" spans="1:45" x14ac:dyDescent="0.25">
      <c r="A163" s="174" t="s">
        <v>244</v>
      </c>
      <c r="B163" s="175">
        <v>127</v>
      </c>
      <c r="C163" s="176">
        <v>1330</v>
      </c>
      <c r="D163" s="179">
        <v>18.3</v>
      </c>
      <c r="E163" s="120">
        <v>0.61499999999999999</v>
      </c>
      <c r="F163" s="120" t="s">
        <v>512</v>
      </c>
      <c r="G163" s="177">
        <v>17.118051383152732</v>
      </c>
      <c r="H163" s="178">
        <v>30</v>
      </c>
      <c r="I163" s="347">
        <v>7.9039999999999999</v>
      </c>
      <c r="J163" s="178">
        <f t="shared" si="12"/>
        <v>62</v>
      </c>
      <c r="K163" s="161"/>
      <c r="L163" s="166"/>
      <c r="M163" s="166"/>
      <c r="N163" s="166"/>
      <c r="O163" s="166"/>
      <c r="P163" s="155"/>
      <c r="Q163" s="166"/>
      <c r="R163" s="166"/>
      <c r="S163" s="166"/>
      <c r="T163" s="166"/>
      <c r="U163" s="166"/>
      <c r="V163" s="166"/>
      <c r="W163" s="166"/>
      <c r="X163" s="166"/>
      <c r="Y163" s="166"/>
      <c r="Z163" s="154">
        <v>345</v>
      </c>
      <c r="AA163" s="123" t="s">
        <v>167</v>
      </c>
      <c r="AB163" s="163">
        <v>353</v>
      </c>
      <c r="AC163" s="125">
        <v>30</v>
      </c>
      <c r="AD163" s="371">
        <v>15.21945</v>
      </c>
      <c r="AE163" s="122">
        <v>329</v>
      </c>
      <c r="AF163" s="167" t="s">
        <v>299</v>
      </c>
      <c r="AG163" s="125">
        <v>329</v>
      </c>
      <c r="AH163" s="125">
        <v>42</v>
      </c>
      <c r="AI163" s="371">
        <v>15.995150000000001</v>
      </c>
      <c r="AJ163" s="126">
        <v>329</v>
      </c>
      <c r="AK163" s="60" t="s">
        <v>299</v>
      </c>
      <c r="AL163" s="160">
        <v>329</v>
      </c>
      <c r="AM163" s="161">
        <v>42</v>
      </c>
      <c r="AN163" s="371">
        <v>15.995150000000001</v>
      </c>
      <c r="AO163" s="126">
        <v>329</v>
      </c>
      <c r="AP163" s="60" t="s">
        <v>299</v>
      </c>
      <c r="AQ163" s="160">
        <v>329</v>
      </c>
      <c r="AR163" s="161">
        <v>42</v>
      </c>
      <c r="AS163" s="371">
        <v>15.995150000000001</v>
      </c>
    </row>
    <row r="164" spans="1:45" x14ac:dyDescent="0.25">
      <c r="A164" s="174" t="s">
        <v>245</v>
      </c>
      <c r="B164" s="175">
        <v>140</v>
      </c>
      <c r="C164" s="176">
        <v>1480</v>
      </c>
      <c r="D164" s="179">
        <v>20</v>
      </c>
      <c r="E164" s="120">
        <v>0.68500000000000005</v>
      </c>
      <c r="F164" s="120" t="s">
        <v>512</v>
      </c>
      <c r="G164" s="177">
        <v>17.134694681502253</v>
      </c>
      <c r="H164" s="178">
        <v>30</v>
      </c>
      <c r="I164" s="347">
        <v>8.4967999999999986</v>
      </c>
      <c r="J164" s="178">
        <f t="shared" si="12"/>
        <v>68</v>
      </c>
      <c r="K164" s="161"/>
      <c r="L164" s="166"/>
      <c r="M164" s="166"/>
      <c r="N164" s="166"/>
      <c r="O164" s="166"/>
      <c r="P164" s="155"/>
      <c r="Q164" s="166"/>
      <c r="R164" s="166"/>
      <c r="S164" s="166"/>
      <c r="T164" s="166"/>
      <c r="U164" s="166"/>
      <c r="V164" s="166"/>
      <c r="W164" s="166"/>
      <c r="X164" s="166"/>
      <c r="Y164" s="166"/>
      <c r="Z164" s="154">
        <v>353</v>
      </c>
      <c r="AA164" s="159" t="s">
        <v>265</v>
      </c>
      <c r="AB164" s="160">
        <v>371</v>
      </c>
      <c r="AC164" s="161">
        <v>36</v>
      </c>
      <c r="AD164" s="371">
        <v>14.664</v>
      </c>
      <c r="AE164" s="122">
        <v>329</v>
      </c>
      <c r="AF164" s="59" t="s">
        <v>192</v>
      </c>
      <c r="AG164" s="27">
        <v>338</v>
      </c>
      <c r="AH164" s="125">
        <v>30</v>
      </c>
      <c r="AI164" s="371">
        <v>12.348000000000001</v>
      </c>
      <c r="AJ164" s="126">
        <v>329</v>
      </c>
      <c r="AK164" s="59" t="s">
        <v>192</v>
      </c>
      <c r="AL164" s="27">
        <v>338</v>
      </c>
      <c r="AM164" s="125">
        <v>30</v>
      </c>
      <c r="AN164" s="371">
        <v>12.348000000000001</v>
      </c>
      <c r="AO164" s="126">
        <v>329</v>
      </c>
      <c r="AP164" s="59" t="s">
        <v>192</v>
      </c>
      <c r="AQ164" s="27">
        <v>338</v>
      </c>
      <c r="AR164" s="125">
        <v>30</v>
      </c>
      <c r="AS164" s="371">
        <v>12.348000000000001</v>
      </c>
    </row>
    <row r="165" spans="1:45" x14ac:dyDescent="0.25">
      <c r="A165" s="174" t="s">
        <v>246</v>
      </c>
      <c r="B165" s="175">
        <v>151</v>
      </c>
      <c r="C165" s="176">
        <v>1600</v>
      </c>
      <c r="D165" s="179">
        <v>21.5</v>
      </c>
      <c r="E165" s="120">
        <v>0.74</v>
      </c>
      <c r="F165" s="120" t="s">
        <v>512</v>
      </c>
      <c r="G165" s="177">
        <v>17.200355063103263</v>
      </c>
      <c r="H165" s="178">
        <v>30</v>
      </c>
      <c r="I165" s="347">
        <v>8.9908000000000001</v>
      </c>
      <c r="J165" s="178">
        <f t="shared" si="12"/>
        <v>73</v>
      </c>
      <c r="K165" s="161"/>
      <c r="L165" s="166"/>
      <c r="M165" s="166"/>
      <c r="N165" s="166"/>
      <c r="O165" s="166"/>
      <c r="P165" s="155"/>
      <c r="Q165" s="166"/>
      <c r="R165" s="166"/>
      <c r="S165" s="166"/>
      <c r="T165" s="166"/>
      <c r="U165" s="166"/>
      <c r="V165" s="166"/>
      <c r="W165" s="166"/>
      <c r="X165" s="166"/>
      <c r="Y165" s="166"/>
      <c r="Z165" s="154">
        <v>371</v>
      </c>
      <c r="AA165" s="59" t="s">
        <v>193</v>
      </c>
      <c r="AB165" s="27">
        <v>375</v>
      </c>
      <c r="AC165" s="125">
        <v>30</v>
      </c>
      <c r="AD165" s="371">
        <v>13.482000000000001</v>
      </c>
      <c r="AE165" s="122">
        <v>338</v>
      </c>
      <c r="AF165" s="59" t="s">
        <v>234</v>
      </c>
      <c r="AG165" s="27">
        <v>344</v>
      </c>
      <c r="AH165" s="125">
        <v>30</v>
      </c>
      <c r="AI165" s="371">
        <v>15.0054</v>
      </c>
      <c r="AJ165" s="126">
        <v>338</v>
      </c>
      <c r="AK165" s="59" t="s">
        <v>234</v>
      </c>
      <c r="AL165" s="27">
        <v>344</v>
      </c>
      <c r="AM165" s="125">
        <v>30</v>
      </c>
      <c r="AN165" s="371">
        <v>15.0054</v>
      </c>
      <c r="AO165" s="126">
        <v>338</v>
      </c>
      <c r="AP165" s="59" t="s">
        <v>234</v>
      </c>
      <c r="AQ165" s="27">
        <v>344</v>
      </c>
      <c r="AR165" s="125">
        <v>30</v>
      </c>
      <c r="AS165" s="371">
        <v>15.0054</v>
      </c>
    </row>
    <row r="166" spans="1:45" x14ac:dyDescent="0.25">
      <c r="A166" s="174" t="s">
        <v>247</v>
      </c>
      <c r="B166" s="175">
        <v>171</v>
      </c>
      <c r="C166" s="176">
        <v>1830</v>
      </c>
      <c r="D166" s="179">
        <v>24.3</v>
      </c>
      <c r="E166" s="120">
        <v>0.83499999999999996</v>
      </c>
      <c r="F166" s="120" t="s">
        <v>512</v>
      </c>
      <c r="G166" s="177">
        <v>17.364448767167378</v>
      </c>
      <c r="H166" s="178">
        <v>30</v>
      </c>
      <c r="I166" s="347">
        <v>10.176399999999999</v>
      </c>
      <c r="J166" s="178">
        <f t="shared" si="12"/>
        <v>83</v>
      </c>
      <c r="K166" s="161"/>
      <c r="L166" s="166"/>
      <c r="M166" s="166"/>
      <c r="N166" s="166"/>
      <c r="O166" s="166"/>
      <c r="P166" s="155"/>
      <c r="Q166" s="166"/>
      <c r="R166" s="166"/>
      <c r="S166" s="166"/>
      <c r="T166" s="166"/>
      <c r="U166" s="166"/>
      <c r="V166" s="166"/>
      <c r="W166" s="166"/>
      <c r="X166" s="166"/>
      <c r="Y166" s="166"/>
      <c r="Z166" s="154">
        <v>375</v>
      </c>
      <c r="AA166" s="59" t="s">
        <v>235</v>
      </c>
      <c r="AB166" s="27">
        <v>380</v>
      </c>
      <c r="AC166" s="125">
        <v>30</v>
      </c>
      <c r="AD166" s="371">
        <v>16.176000000000002</v>
      </c>
      <c r="AE166" s="122">
        <v>344</v>
      </c>
      <c r="AF166" s="159" t="s">
        <v>282</v>
      </c>
      <c r="AG166" s="160">
        <v>345</v>
      </c>
      <c r="AH166" s="161">
        <v>36</v>
      </c>
      <c r="AI166" s="371">
        <v>15.5123</v>
      </c>
      <c r="AJ166" s="126">
        <v>344</v>
      </c>
      <c r="AK166" s="159" t="s">
        <v>282</v>
      </c>
      <c r="AL166" s="160">
        <v>345</v>
      </c>
      <c r="AM166" s="161">
        <v>36</v>
      </c>
      <c r="AN166" s="371">
        <v>15.5123</v>
      </c>
      <c r="AO166" s="126">
        <v>344</v>
      </c>
      <c r="AP166" s="159" t="s">
        <v>282</v>
      </c>
      <c r="AQ166" s="160">
        <v>345</v>
      </c>
      <c r="AR166" s="161">
        <v>36</v>
      </c>
      <c r="AS166" s="371">
        <v>15.5123</v>
      </c>
    </row>
    <row r="167" spans="1:45" x14ac:dyDescent="0.25">
      <c r="A167" s="174" t="s">
        <v>248</v>
      </c>
      <c r="B167" s="175">
        <v>192</v>
      </c>
      <c r="C167" s="176">
        <v>2070</v>
      </c>
      <c r="D167" s="179">
        <v>27.3</v>
      </c>
      <c r="E167" s="120">
        <v>0.93</v>
      </c>
      <c r="F167" s="120" t="s">
        <v>512</v>
      </c>
      <c r="G167" s="177">
        <v>17.564132443917288</v>
      </c>
      <c r="H167" s="178">
        <v>30</v>
      </c>
      <c r="I167" s="347">
        <v>11.460800000000001</v>
      </c>
      <c r="J167" s="178">
        <f t="shared" si="12"/>
        <v>93</v>
      </c>
      <c r="K167" s="125"/>
      <c r="L167" s="166"/>
      <c r="M167" s="166"/>
      <c r="N167" s="166"/>
      <c r="O167" s="166"/>
      <c r="P167" s="155"/>
      <c r="Q167" s="166"/>
      <c r="R167" s="166"/>
      <c r="S167" s="166"/>
      <c r="T167" s="166"/>
      <c r="U167" s="166"/>
      <c r="V167" s="166"/>
      <c r="W167" s="166"/>
      <c r="X167" s="166"/>
      <c r="Y167" s="166"/>
      <c r="Z167" s="154">
        <v>380</v>
      </c>
      <c r="AA167" s="159" t="s">
        <v>254</v>
      </c>
      <c r="AB167" s="160">
        <v>380</v>
      </c>
      <c r="AC167" s="161">
        <v>36</v>
      </c>
      <c r="AD167" s="371">
        <v>14.82</v>
      </c>
      <c r="AE167" s="122">
        <v>345</v>
      </c>
      <c r="AF167" s="123" t="s">
        <v>167</v>
      </c>
      <c r="AG167" s="163">
        <v>353</v>
      </c>
      <c r="AH167" s="125">
        <v>30</v>
      </c>
      <c r="AI167" s="371">
        <v>15.21945</v>
      </c>
      <c r="AJ167" s="126">
        <v>345</v>
      </c>
      <c r="AK167" s="123" t="s">
        <v>167</v>
      </c>
      <c r="AL167" s="163">
        <v>353</v>
      </c>
      <c r="AM167" s="125">
        <v>30</v>
      </c>
      <c r="AN167" s="371">
        <v>15.21945</v>
      </c>
      <c r="AO167" s="126">
        <v>345</v>
      </c>
      <c r="AP167" s="123" t="s">
        <v>167</v>
      </c>
      <c r="AQ167" s="163">
        <v>353</v>
      </c>
      <c r="AR167" s="125">
        <v>30</v>
      </c>
      <c r="AS167" s="371">
        <v>15.21945</v>
      </c>
    </row>
    <row r="168" spans="1:45" x14ac:dyDescent="0.25">
      <c r="A168" s="174" t="s">
        <v>249</v>
      </c>
      <c r="B168" s="175">
        <v>227</v>
      </c>
      <c r="C168" s="176">
        <v>2420</v>
      </c>
      <c r="D168" s="179">
        <v>29.8</v>
      </c>
      <c r="E168" s="120">
        <v>0.8</v>
      </c>
      <c r="F168" s="120" t="s">
        <v>512</v>
      </c>
      <c r="G168" s="177">
        <v>20.179254795562677</v>
      </c>
      <c r="H168" s="178">
        <v>36</v>
      </c>
      <c r="I168" s="347">
        <v>9.879999999999999</v>
      </c>
      <c r="J168" s="178">
        <f t="shared" si="12"/>
        <v>101</v>
      </c>
      <c r="K168" s="161"/>
      <c r="L168" s="166"/>
      <c r="M168" s="166"/>
      <c r="N168" s="166"/>
      <c r="O168" s="166"/>
      <c r="P168" s="155"/>
      <c r="Q168" s="166"/>
      <c r="R168" s="166"/>
      <c r="S168" s="166"/>
      <c r="T168" s="166"/>
      <c r="U168" s="166"/>
      <c r="V168" s="166"/>
      <c r="W168" s="166"/>
      <c r="X168" s="166"/>
      <c r="Y168" s="166"/>
      <c r="Z168" s="154">
        <v>380</v>
      </c>
      <c r="AA168" s="123" t="s">
        <v>168</v>
      </c>
      <c r="AB168" s="163">
        <v>393</v>
      </c>
      <c r="AC168" s="125">
        <v>30</v>
      </c>
      <c r="AD168" s="371">
        <v>16.692299999999999</v>
      </c>
      <c r="AE168" s="122">
        <v>353</v>
      </c>
      <c r="AF168" s="167" t="s">
        <v>300</v>
      </c>
      <c r="AG168" s="125">
        <v>355</v>
      </c>
      <c r="AH168" s="125">
        <v>42</v>
      </c>
      <c r="AI168" s="371">
        <v>16.561350000000001</v>
      </c>
      <c r="AJ168" s="126">
        <v>353</v>
      </c>
      <c r="AK168" s="159" t="s">
        <v>300</v>
      </c>
      <c r="AL168" s="160">
        <v>355</v>
      </c>
      <c r="AM168" s="161">
        <v>42</v>
      </c>
      <c r="AN168" s="371">
        <v>16.561350000000001</v>
      </c>
      <c r="AO168" s="126">
        <v>353</v>
      </c>
      <c r="AP168" s="159" t="s">
        <v>300</v>
      </c>
      <c r="AQ168" s="160">
        <v>355</v>
      </c>
      <c r="AR168" s="161">
        <v>42</v>
      </c>
      <c r="AS168" s="371">
        <v>16.561350000000001</v>
      </c>
    </row>
    <row r="169" spans="1:45" x14ac:dyDescent="0.25">
      <c r="A169" s="174" t="s">
        <v>250</v>
      </c>
      <c r="B169" s="175">
        <v>249</v>
      </c>
      <c r="C169" s="176">
        <v>2670</v>
      </c>
      <c r="D169" s="179">
        <v>32.700000000000003</v>
      </c>
      <c r="E169" s="120">
        <v>0.875</v>
      </c>
      <c r="F169" s="120" t="s">
        <v>512</v>
      </c>
      <c r="G169" s="177">
        <v>20.313900799743564</v>
      </c>
      <c r="H169" s="178">
        <v>36</v>
      </c>
      <c r="I169" s="347">
        <v>10.868000000000002</v>
      </c>
      <c r="J169" s="178">
        <f t="shared" si="12"/>
        <v>111</v>
      </c>
      <c r="K169" s="125"/>
      <c r="L169" s="166"/>
      <c r="M169" s="166"/>
      <c r="N169" s="166"/>
      <c r="O169" s="166"/>
      <c r="P169" s="155"/>
      <c r="Q169" s="166"/>
      <c r="R169" s="166"/>
      <c r="S169" s="166"/>
      <c r="T169" s="166"/>
      <c r="U169" s="166"/>
      <c r="V169" s="166"/>
      <c r="W169" s="166"/>
      <c r="X169" s="166"/>
      <c r="Y169" s="166"/>
      <c r="Z169" s="154">
        <v>393</v>
      </c>
      <c r="AA169" s="159" t="s">
        <v>266</v>
      </c>
      <c r="AB169" s="160">
        <v>414</v>
      </c>
      <c r="AC169" s="161">
        <v>36</v>
      </c>
      <c r="AD169" s="371">
        <v>15.904799999999998</v>
      </c>
      <c r="AE169" s="122">
        <v>355</v>
      </c>
      <c r="AF169" s="167" t="s">
        <v>312</v>
      </c>
      <c r="AG169" s="125">
        <v>359</v>
      </c>
      <c r="AH169" s="125">
        <v>42</v>
      </c>
      <c r="AI169" s="371">
        <v>17.259</v>
      </c>
      <c r="AJ169" s="126">
        <v>355</v>
      </c>
      <c r="AK169" s="159" t="s">
        <v>312</v>
      </c>
      <c r="AL169" s="160">
        <v>359</v>
      </c>
      <c r="AM169" s="161">
        <v>42</v>
      </c>
      <c r="AN169" s="371">
        <v>17.259</v>
      </c>
      <c r="AO169" s="126">
        <v>355</v>
      </c>
      <c r="AP169" s="159" t="s">
        <v>312</v>
      </c>
      <c r="AQ169" s="160">
        <v>359</v>
      </c>
      <c r="AR169" s="161">
        <v>42</v>
      </c>
      <c r="AS169" s="371">
        <v>17.259</v>
      </c>
    </row>
    <row r="170" spans="1:45" x14ac:dyDescent="0.25">
      <c r="A170" s="174" t="s">
        <v>251</v>
      </c>
      <c r="B170" s="175">
        <v>273</v>
      </c>
      <c r="C170" s="176">
        <v>2960</v>
      </c>
      <c r="D170" s="179">
        <v>35.9</v>
      </c>
      <c r="E170" s="120">
        <v>0.96</v>
      </c>
      <c r="F170" s="120" t="s">
        <v>512</v>
      </c>
      <c r="G170" s="177">
        <v>20.428173707147018</v>
      </c>
      <c r="H170" s="178">
        <v>36</v>
      </c>
      <c r="I170" s="347">
        <v>11.855999999999998</v>
      </c>
      <c r="J170" s="178">
        <f t="shared" si="12"/>
        <v>122</v>
      </c>
      <c r="K170" s="161"/>
      <c r="L170" s="166"/>
      <c r="M170" s="166"/>
      <c r="N170" s="166"/>
      <c r="O170" s="166"/>
      <c r="P170" s="155"/>
      <c r="Q170" s="166"/>
      <c r="R170" s="166"/>
      <c r="S170" s="166"/>
      <c r="T170" s="166"/>
      <c r="U170" s="166"/>
      <c r="V170" s="166"/>
      <c r="W170" s="166"/>
      <c r="X170" s="166"/>
      <c r="Y170" s="166"/>
      <c r="Z170" s="154">
        <v>414</v>
      </c>
      <c r="AA170" s="59" t="s">
        <v>194</v>
      </c>
      <c r="AB170" s="27">
        <v>415</v>
      </c>
      <c r="AC170" s="125">
        <v>30</v>
      </c>
      <c r="AD170" s="371">
        <v>14.805</v>
      </c>
      <c r="AE170" s="122">
        <v>359</v>
      </c>
      <c r="AF170" s="159" t="s">
        <v>265</v>
      </c>
      <c r="AG170" s="160">
        <v>371</v>
      </c>
      <c r="AH170" s="161">
        <v>36</v>
      </c>
      <c r="AI170" s="371">
        <v>14.664</v>
      </c>
      <c r="AJ170" s="126">
        <v>359</v>
      </c>
      <c r="AK170" s="159" t="s">
        <v>265</v>
      </c>
      <c r="AL170" s="160">
        <v>371</v>
      </c>
      <c r="AM170" s="161">
        <v>36</v>
      </c>
      <c r="AN170" s="371">
        <v>14.664</v>
      </c>
      <c r="AO170" s="126">
        <v>359</v>
      </c>
      <c r="AP170" s="159" t="s">
        <v>265</v>
      </c>
      <c r="AQ170" s="160">
        <v>371</v>
      </c>
      <c r="AR170" s="161">
        <v>36</v>
      </c>
      <c r="AS170" s="371">
        <v>14.664</v>
      </c>
    </row>
    <row r="171" spans="1:45" x14ac:dyDescent="0.25">
      <c r="A171" s="174" t="s">
        <v>252</v>
      </c>
      <c r="B171" s="175">
        <v>295</v>
      </c>
      <c r="C171" s="176">
        <v>3220</v>
      </c>
      <c r="D171" s="179">
        <v>38.799999999999997</v>
      </c>
      <c r="E171" s="120">
        <v>1.0349999999999999</v>
      </c>
      <c r="F171" s="120" t="s">
        <v>512</v>
      </c>
      <c r="G171" s="177">
        <v>20.556094275205975</v>
      </c>
      <c r="H171" s="178">
        <v>36</v>
      </c>
      <c r="I171" s="347">
        <v>12.843999999999999</v>
      </c>
      <c r="J171" s="178">
        <f t="shared" si="12"/>
        <v>132</v>
      </c>
      <c r="K171" s="125"/>
      <c r="L171" s="166"/>
      <c r="M171" s="166"/>
      <c r="N171" s="166"/>
      <c r="O171" s="166"/>
      <c r="P171" s="155"/>
      <c r="Q171" s="166"/>
      <c r="R171" s="166"/>
      <c r="S171" s="166"/>
      <c r="T171" s="166"/>
      <c r="U171" s="166"/>
      <c r="V171" s="166"/>
      <c r="W171" s="166"/>
      <c r="X171" s="166"/>
      <c r="Y171" s="166"/>
      <c r="Z171" s="154">
        <v>415</v>
      </c>
      <c r="AA171" s="59" t="s">
        <v>236</v>
      </c>
      <c r="AB171" s="27">
        <v>419</v>
      </c>
      <c r="AC171" s="125">
        <v>30</v>
      </c>
      <c r="AD171" s="371">
        <v>17.861000000000001</v>
      </c>
      <c r="AE171" s="122">
        <v>371</v>
      </c>
      <c r="AF171" s="59" t="s">
        <v>193</v>
      </c>
      <c r="AG171" s="27">
        <v>375</v>
      </c>
      <c r="AH171" s="125">
        <v>30</v>
      </c>
      <c r="AI171" s="371">
        <v>13.482000000000001</v>
      </c>
      <c r="AJ171" s="126">
        <v>371</v>
      </c>
      <c r="AK171" s="59" t="s">
        <v>193</v>
      </c>
      <c r="AL171" s="27">
        <v>375</v>
      </c>
      <c r="AM171" s="125">
        <v>30</v>
      </c>
      <c r="AN171" s="371">
        <v>13.482000000000001</v>
      </c>
      <c r="AO171" s="126">
        <v>371</v>
      </c>
      <c r="AP171" s="59" t="s">
        <v>193</v>
      </c>
      <c r="AQ171" s="27">
        <v>375</v>
      </c>
      <c r="AR171" s="125">
        <v>30</v>
      </c>
      <c r="AS171" s="371">
        <v>13.482000000000001</v>
      </c>
    </row>
    <row r="172" spans="1:45" x14ac:dyDescent="0.25">
      <c r="A172" s="174" t="s">
        <v>253</v>
      </c>
      <c r="B172" s="175">
        <v>329</v>
      </c>
      <c r="C172" s="176">
        <v>3630</v>
      </c>
      <c r="D172" s="179">
        <v>43.2</v>
      </c>
      <c r="E172" s="120">
        <v>1.1499999999999999</v>
      </c>
      <c r="F172" s="120" t="s">
        <v>512</v>
      </c>
      <c r="G172" s="177">
        <v>20.753627227213883</v>
      </c>
      <c r="H172" s="178">
        <v>36</v>
      </c>
      <c r="I172" s="347">
        <v>14.227199999999998</v>
      </c>
      <c r="J172" s="178">
        <f t="shared" si="12"/>
        <v>147</v>
      </c>
      <c r="K172" s="161"/>
      <c r="L172" s="166"/>
      <c r="M172" s="166"/>
      <c r="N172" s="166"/>
      <c r="O172" s="166"/>
      <c r="P172" s="155"/>
      <c r="Q172" s="166"/>
      <c r="R172" s="166"/>
      <c r="S172" s="166"/>
      <c r="T172" s="166"/>
      <c r="U172" s="166"/>
      <c r="V172" s="166"/>
      <c r="W172" s="166"/>
      <c r="X172" s="166"/>
      <c r="Y172" s="166"/>
      <c r="Z172" s="154">
        <v>419</v>
      </c>
      <c r="AA172" s="123" t="s">
        <v>169</v>
      </c>
      <c r="AB172" s="163">
        <v>435</v>
      </c>
      <c r="AC172" s="125">
        <v>30</v>
      </c>
      <c r="AD172" s="371">
        <v>17.728750000000002</v>
      </c>
      <c r="AE172" s="122">
        <v>375</v>
      </c>
      <c r="AF172" s="59" t="s">
        <v>235</v>
      </c>
      <c r="AG172" s="27">
        <v>380</v>
      </c>
      <c r="AH172" s="125">
        <v>30</v>
      </c>
      <c r="AI172" s="371">
        <v>16.176000000000002</v>
      </c>
      <c r="AJ172" s="126">
        <v>375</v>
      </c>
      <c r="AK172" s="59" t="s">
        <v>235</v>
      </c>
      <c r="AL172" s="27">
        <v>380</v>
      </c>
      <c r="AM172" s="125">
        <v>30</v>
      </c>
      <c r="AN172" s="371">
        <v>16.176000000000002</v>
      </c>
      <c r="AO172" s="126">
        <v>375</v>
      </c>
      <c r="AP172" s="59" t="s">
        <v>235</v>
      </c>
      <c r="AQ172" s="27">
        <v>380</v>
      </c>
      <c r="AR172" s="125">
        <v>30</v>
      </c>
      <c r="AS172" s="371">
        <v>16.176000000000002</v>
      </c>
    </row>
    <row r="173" spans="1:45" ht="15.75" thickBot="1" x14ac:dyDescent="0.3">
      <c r="A173" s="180" t="s">
        <v>254</v>
      </c>
      <c r="B173" s="181">
        <v>380</v>
      </c>
      <c r="C173" s="182">
        <v>4280</v>
      </c>
      <c r="D173" s="183">
        <v>48.8</v>
      </c>
      <c r="E173" s="133">
        <v>1.36</v>
      </c>
      <c r="F173" s="133" t="s">
        <v>512</v>
      </c>
      <c r="G173" s="184">
        <v>20.821963094825428</v>
      </c>
      <c r="H173" s="185">
        <v>36</v>
      </c>
      <c r="I173" s="348">
        <v>14.82</v>
      </c>
      <c r="J173" s="185">
        <f t="shared" si="12"/>
        <v>166</v>
      </c>
      <c r="K173" s="125"/>
      <c r="L173" s="166"/>
      <c r="M173" s="166"/>
      <c r="N173" s="166"/>
      <c r="O173" s="166"/>
      <c r="P173" s="155"/>
      <c r="Q173" s="166"/>
      <c r="R173" s="166"/>
      <c r="S173" s="166"/>
      <c r="T173" s="166"/>
      <c r="U173" s="166"/>
      <c r="V173" s="166"/>
      <c r="W173" s="166"/>
      <c r="X173" s="166"/>
      <c r="Y173" s="166"/>
      <c r="Z173" s="154">
        <v>435</v>
      </c>
      <c r="AA173" s="159" t="s">
        <v>267</v>
      </c>
      <c r="AB173" s="160">
        <v>450</v>
      </c>
      <c r="AC173" s="161">
        <v>36</v>
      </c>
      <c r="AD173" s="371">
        <v>16.919999999999998</v>
      </c>
      <c r="AE173" s="122">
        <v>380</v>
      </c>
      <c r="AF173" s="159" t="s">
        <v>254</v>
      </c>
      <c r="AG173" s="160">
        <v>380</v>
      </c>
      <c r="AH173" s="161">
        <v>36</v>
      </c>
      <c r="AI173" s="371">
        <v>14.82</v>
      </c>
      <c r="AJ173" s="126">
        <v>380</v>
      </c>
      <c r="AK173" s="159" t="s">
        <v>254</v>
      </c>
      <c r="AL173" s="160">
        <v>380</v>
      </c>
      <c r="AM173" s="161">
        <v>36</v>
      </c>
      <c r="AN173" s="371">
        <v>14.82</v>
      </c>
      <c r="AO173" s="126">
        <v>380</v>
      </c>
      <c r="AP173" s="159" t="s">
        <v>254</v>
      </c>
      <c r="AQ173" s="160">
        <v>380</v>
      </c>
      <c r="AR173" s="161">
        <v>36</v>
      </c>
      <c r="AS173" s="371">
        <v>14.82</v>
      </c>
    </row>
    <row r="174" spans="1:45" x14ac:dyDescent="0.25">
      <c r="A174" s="169" t="s">
        <v>255</v>
      </c>
      <c r="B174" s="170">
        <v>114</v>
      </c>
      <c r="C174" s="171">
        <v>1350</v>
      </c>
      <c r="D174" s="186">
        <v>16.2</v>
      </c>
      <c r="E174" s="108">
        <v>0.505</v>
      </c>
      <c r="F174" s="108" t="s">
        <v>514</v>
      </c>
      <c r="G174" s="172">
        <v>17.698374785822232</v>
      </c>
      <c r="H174" s="173">
        <v>36</v>
      </c>
      <c r="I174" s="346">
        <v>8.9111999999999991</v>
      </c>
      <c r="J174" s="173">
        <f t="shared" si="12"/>
        <v>55</v>
      </c>
      <c r="K174" s="125"/>
      <c r="L174" s="166"/>
      <c r="M174" s="166"/>
      <c r="N174" s="166"/>
      <c r="O174" s="166"/>
      <c r="P174" s="155"/>
      <c r="Q174" s="166"/>
      <c r="R174" s="166"/>
      <c r="S174" s="166"/>
      <c r="T174" s="166"/>
      <c r="U174" s="166"/>
      <c r="V174" s="166"/>
      <c r="W174" s="166"/>
      <c r="X174" s="166"/>
      <c r="Y174" s="166"/>
      <c r="Z174" s="154">
        <v>450</v>
      </c>
      <c r="AA174" s="59" t="s">
        <v>195</v>
      </c>
      <c r="AB174" s="27">
        <v>459</v>
      </c>
      <c r="AC174" s="125">
        <v>30</v>
      </c>
      <c r="AD174" s="371">
        <v>16.253999999999998</v>
      </c>
      <c r="AE174" s="122">
        <v>380</v>
      </c>
      <c r="AF174" s="167" t="s">
        <v>301</v>
      </c>
      <c r="AG174" s="125">
        <v>380</v>
      </c>
      <c r="AH174" s="125">
        <v>42</v>
      </c>
      <c r="AI174" s="371">
        <v>17.41065</v>
      </c>
      <c r="AJ174" s="126">
        <v>380</v>
      </c>
      <c r="AK174" s="159" t="s">
        <v>301</v>
      </c>
      <c r="AL174" s="160">
        <v>380</v>
      </c>
      <c r="AM174" s="161">
        <v>42</v>
      </c>
      <c r="AN174" s="371">
        <v>17.41065</v>
      </c>
      <c r="AO174" s="126">
        <v>380</v>
      </c>
      <c r="AP174" s="159" t="s">
        <v>301</v>
      </c>
      <c r="AQ174" s="160">
        <v>380</v>
      </c>
      <c r="AR174" s="161">
        <v>42</v>
      </c>
      <c r="AS174" s="371">
        <v>17.41065</v>
      </c>
    </row>
    <row r="175" spans="1:45" x14ac:dyDescent="0.25">
      <c r="A175" s="174" t="s">
        <v>256</v>
      </c>
      <c r="B175" s="175">
        <v>131</v>
      </c>
      <c r="C175" s="176">
        <v>1550</v>
      </c>
      <c r="D175" s="179">
        <v>18.2</v>
      </c>
      <c r="E175" s="120">
        <v>0.59</v>
      </c>
      <c r="F175" s="120" t="s">
        <v>514</v>
      </c>
      <c r="G175" s="177">
        <v>17.681333465070129</v>
      </c>
      <c r="H175" s="178">
        <v>36</v>
      </c>
      <c r="I175" s="347">
        <v>9.7007999999999992</v>
      </c>
      <c r="J175" s="178">
        <f t="shared" si="12"/>
        <v>62</v>
      </c>
      <c r="K175" s="161"/>
      <c r="L175" s="166"/>
      <c r="M175" s="166"/>
      <c r="N175" s="166"/>
      <c r="O175" s="166"/>
      <c r="P175" s="155"/>
      <c r="Q175" s="166"/>
      <c r="R175" s="166"/>
      <c r="S175" s="166"/>
      <c r="T175" s="166"/>
      <c r="U175" s="166"/>
      <c r="V175" s="166"/>
      <c r="W175" s="166"/>
      <c r="X175" s="166"/>
      <c r="Y175" s="166"/>
      <c r="Z175" s="154">
        <v>459</v>
      </c>
      <c r="AA175" s="59" t="s">
        <v>237</v>
      </c>
      <c r="AB175" s="27">
        <v>466</v>
      </c>
      <c r="AC175" s="125">
        <v>36</v>
      </c>
      <c r="AD175" s="371">
        <v>19.534399999999998</v>
      </c>
      <c r="AE175" s="122">
        <v>380</v>
      </c>
      <c r="AF175" s="123" t="s">
        <v>168</v>
      </c>
      <c r="AG175" s="163">
        <v>393</v>
      </c>
      <c r="AH175" s="125">
        <v>30</v>
      </c>
      <c r="AI175" s="371">
        <v>16.692299999999999</v>
      </c>
      <c r="AJ175" s="126">
        <v>380</v>
      </c>
      <c r="AK175" s="123" t="s">
        <v>168</v>
      </c>
      <c r="AL175" s="163">
        <v>393</v>
      </c>
      <c r="AM175" s="125">
        <v>30</v>
      </c>
      <c r="AN175" s="371">
        <v>16.692299999999999</v>
      </c>
      <c r="AO175" s="126">
        <v>380</v>
      </c>
      <c r="AP175" s="123" t="s">
        <v>168</v>
      </c>
      <c r="AQ175" s="163">
        <v>393</v>
      </c>
      <c r="AR175" s="125">
        <v>30</v>
      </c>
      <c r="AS175" s="371">
        <v>16.692299999999999</v>
      </c>
    </row>
    <row r="176" spans="1:45" x14ac:dyDescent="0.25">
      <c r="A176" s="174" t="s">
        <v>257</v>
      </c>
      <c r="B176" s="175">
        <v>154</v>
      </c>
      <c r="C176" s="176">
        <v>1830</v>
      </c>
      <c r="D176" s="179">
        <v>20.100000000000001</v>
      </c>
      <c r="E176" s="120">
        <v>0.58499999999999996</v>
      </c>
      <c r="F176" s="120" t="s">
        <v>512</v>
      </c>
      <c r="G176" s="177">
        <v>19.169570079428919</v>
      </c>
      <c r="H176" s="178">
        <v>36</v>
      </c>
      <c r="I176" s="347">
        <v>9.3624000000000009</v>
      </c>
      <c r="J176" s="178">
        <f t="shared" si="12"/>
        <v>68</v>
      </c>
      <c r="K176" s="125"/>
      <c r="L176" s="166"/>
      <c r="M176" s="166"/>
      <c r="N176" s="166"/>
      <c r="O176" s="166"/>
      <c r="P176" s="155"/>
      <c r="Q176" s="166"/>
      <c r="R176" s="166"/>
      <c r="S176" s="166"/>
      <c r="T176" s="166"/>
      <c r="U176" s="166"/>
      <c r="V176" s="166"/>
      <c r="W176" s="166"/>
      <c r="X176" s="166"/>
      <c r="Y176" s="166"/>
      <c r="Z176" s="154">
        <v>466</v>
      </c>
      <c r="AA176" s="123" t="s">
        <v>170</v>
      </c>
      <c r="AB176" s="163">
        <v>483</v>
      </c>
      <c r="AC176" s="125">
        <v>30</v>
      </c>
      <c r="AD176" s="371">
        <v>19.36525</v>
      </c>
      <c r="AE176" s="122">
        <v>393</v>
      </c>
      <c r="AF176" s="167" t="s">
        <v>313</v>
      </c>
      <c r="AG176" s="125">
        <v>406</v>
      </c>
      <c r="AH176" s="125">
        <v>42</v>
      </c>
      <c r="AI176" s="371">
        <v>18.200400000000002</v>
      </c>
      <c r="AJ176" s="126">
        <v>393</v>
      </c>
      <c r="AK176" s="60" t="s">
        <v>313</v>
      </c>
      <c r="AL176" s="160">
        <v>406</v>
      </c>
      <c r="AM176" s="161">
        <v>42</v>
      </c>
      <c r="AN176" s="371">
        <v>18.200400000000002</v>
      </c>
      <c r="AO176" s="126">
        <v>393</v>
      </c>
      <c r="AP176" s="60" t="s">
        <v>313</v>
      </c>
      <c r="AQ176" s="160">
        <v>406</v>
      </c>
      <c r="AR176" s="161">
        <v>42</v>
      </c>
      <c r="AS176" s="371">
        <v>18.200400000000002</v>
      </c>
    </row>
    <row r="177" spans="1:45" x14ac:dyDescent="0.25">
      <c r="A177" s="174" t="s">
        <v>258</v>
      </c>
      <c r="B177" s="175">
        <v>176</v>
      </c>
      <c r="C177" s="176">
        <v>2100</v>
      </c>
      <c r="D177" s="179">
        <v>22.4</v>
      </c>
      <c r="E177" s="120">
        <v>0.68</v>
      </c>
      <c r="F177" s="120" t="s">
        <v>512</v>
      </c>
      <c r="G177" s="177">
        <v>19.151963030884133</v>
      </c>
      <c r="H177" s="178">
        <v>36</v>
      </c>
      <c r="I177" s="347">
        <v>9.926400000000001</v>
      </c>
      <c r="J177" s="178">
        <f t="shared" si="12"/>
        <v>76</v>
      </c>
      <c r="K177" s="125"/>
      <c r="L177" s="166"/>
      <c r="M177" s="166"/>
      <c r="N177" s="166"/>
      <c r="O177" s="166"/>
      <c r="P177" s="155"/>
      <c r="Q177" s="166"/>
      <c r="R177" s="166"/>
      <c r="S177" s="166"/>
      <c r="T177" s="166"/>
      <c r="U177" s="166"/>
      <c r="V177" s="166"/>
      <c r="W177" s="166"/>
      <c r="X177" s="166"/>
      <c r="Y177" s="166"/>
      <c r="Z177" s="154">
        <v>483</v>
      </c>
      <c r="AA177" s="159" t="s">
        <v>268</v>
      </c>
      <c r="AB177" s="160">
        <v>491</v>
      </c>
      <c r="AC177" s="161">
        <v>36</v>
      </c>
      <c r="AD177" s="371">
        <v>18.265499999999999</v>
      </c>
      <c r="AE177" s="122">
        <v>406</v>
      </c>
      <c r="AF177" s="167" t="s">
        <v>283</v>
      </c>
      <c r="AG177" s="125">
        <v>411</v>
      </c>
      <c r="AH177" s="125">
        <v>42</v>
      </c>
      <c r="AI177" s="371">
        <v>15.385149999999999</v>
      </c>
      <c r="AJ177" s="126">
        <v>406</v>
      </c>
      <c r="AK177" s="159" t="s">
        <v>283</v>
      </c>
      <c r="AL177" s="160">
        <v>411</v>
      </c>
      <c r="AM177" s="161">
        <v>42</v>
      </c>
      <c r="AN177" s="371">
        <v>15.385149999999999</v>
      </c>
      <c r="AO177" s="126">
        <v>406</v>
      </c>
      <c r="AP177" s="159" t="s">
        <v>283</v>
      </c>
      <c r="AQ177" s="160">
        <v>411</v>
      </c>
      <c r="AR177" s="161">
        <v>42</v>
      </c>
      <c r="AS177" s="371">
        <v>15.385149999999999</v>
      </c>
    </row>
    <row r="178" spans="1:45" x14ac:dyDescent="0.25">
      <c r="A178" s="174" t="s">
        <v>259</v>
      </c>
      <c r="B178" s="175">
        <v>196</v>
      </c>
      <c r="C178" s="176">
        <v>2370</v>
      </c>
      <c r="D178" s="179">
        <v>24.7</v>
      </c>
      <c r="E178" s="120">
        <v>0.77</v>
      </c>
      <c r="F178" s="120" t="s">
        <v>512</v>
      </c>
      <c r="G178" s="177">
        <v>19.130190349116067</v>
      </c>
      <c r="H178" s="178">
        <v>36</v>
      </c>
      <c r="I178" s="347">
        <v>10.603200000000001</v>
      </c>
      <c r="J178" s="178">
        <f t="shared" si="12"/>
        <v>84</v>
      </c>
      <c r="K178" s="161"/>
      <c r="L178" s="166"/>
      <c r="M178" s="166"/>
      <c r="N178" s="166"/>
      <c r="O178" s="166"/>
      <c r="P178" s="155"/>
      <c r="Q178" s="166"/>
      <c r="R178" s="166"/>
      <c r="S178" s="166"/>
      <c r="T178" s="166"/>
      <c r="U178" s="166"/>
      <c r="V178" s="166"/>
      <c r="W178" s="166"/>
      <c r="X178" s="166"/>
      <c r="Y178" s="166"/>
      <c r="Z178" s="154">
        <v>491</v>
      </c>
      <c r="AA178" s="59" t="s">
        <v>196</v>
      </c>
      <c r="AB178" s="27">
        <v>506</v>
      </c>
      <c r="AC178" s="125">
        <v>30</v>
      </c>
      <c r="AD178" s="371">
        <v>17.766000000000002</v>
      </c>
      <c r="AE178" s="122">
        <v>411</v>
      </c>
      <c r="AF178" s="159" t="s">
        <v>266</v>
      </c>
      <c r="AG178" s="160">
        <v>414</v>
      </c>
      <c r="AH178" s="161">
        <v>36</v>
      </c>
      <c r="AI178" s="371">
        <v>15.904799999999998</v>
      </c>
      <c r="AJ178" s="126">
        <v>411</v>
      </c>
      <c r="AK178" s="159" t="s">
        <v>266</v>
      </c>
      <c r="AL178" s="160">
        <v>414</v>
      </c>
      <c r="AM178" s="161">
        <v>36</v>
      </c>
      <c r="AN178" s="371">
        <v>15.904799999999998</v>
      </c>
      <c r="AO178" s="126">
        <v>411</v>
      </c>
      <c r="AP178" s="159" t="s">
        <v>266</v>
      </c>
      <c r="AQ178" s="160">
        <v>414</v>
      </c>
      <c r="AR178" s="161">
        <v>36</v>
      </c>
      <c r="AS178" s="371">
        <v>15.904799999999998</v>
      </c>
    </row>
    <row r="179" spans="1:45" x14ac:dyDescent="0.25">
      <c r="A179" s="174" t="s">
        <v>260</v>
      </c>
      <c r="B179" s="175">
        <v>222</v>
      </c>
      <c r="C179" s="176">
        <v>2700</v>
      </c>
      <c r="D179" s="179">
        <v>27.7</v>
      </c>
      <c r="E179" s="120">
        <v>0.875</v>
      </c>
      <c r="F179" s="120" t="s">
        <v>512</v>
      </c>
      <c r="G179" s="177">
        <v>19.250411269253775</v>
      </c>
      <c r="H179" s="178">
        <v>36</v>
      </c>
      <c r="I179" s="347">
        <v>11.618399999999999</v>
      </c>
      <c r="J179" s="178">
        <f t="shared" si="12"/>
        <v>94</v>
      </c>
      <c r="K179" s="125"/>
      <c r="L179" s="166"/>
      <c r="M179" s="166"/>
      <c r="N179" s="166"/>
      <c r="O179" s="166"/>
      <c r="P179" s="155"/>
      <c r="Q179" s="166"/>
      <c r="R179" s="166"/>
      <c r="S179" s="166"/>
      <c r="T179" s="166"/>
      <c r="U179" s="166"/>
      <c r="V179" s="166"/>
      <c r="W179" s="166"/>
      <c r="X179" s="166"/>
      <c r="Y179" s="166"/>
      <c r="Z179" s="154">
        <v>506</v>
      </c>
      <c r="AA179" s="59" t="s">
        <v>238</v>
      </c>
      <c r="AB179" s="27">
        <v>514</v>
      </c>
      <c r="AC179" s="125">
        <v>36</v>
      </c>
      <c r="AD179" s="371">
        <v>21.5808</v>
      </c>
      <c r="AE179" s="122">
        <v>414</v>
      </c>
      <c r="AF179" s="59" t="s">
        <v>194</v>
      </c>
      <c r="AG179" s="27">
        <v>415</v>
      </c>
      <c r="AH179" s="125">
        <v>30</v>
      </c>
      <c r="AI179" s="371">
        <v>14.805</v>
      </c>
      <c r="AJ179" s="126">
        <v>414</v>
      </c>
      <c r="AK179" s="59" t="s">
        <v>194</v>
      </c>
      <c r="AL179" s="27">
        <v>415</v>
      </c>
      <c r="AM179" s="125">
        <v>30</v>
      </c>
      <c r="AN179" s="371">
        <v>14.805</v>
      </c>
      <c r="AO179" s="126">
        <v>414</v>
      </c>
      <c r="AP179" s="59" t="s">
        <v>194</v>
      </c>
      <c r="AQ179" s="27">
        <v>415</v>
      </c>
      <c r="AR179" s="125">
        <v>30</v>
      </c>
      <c r="AS179" s="371">
        <v>14.805</v>
      </c>
    </row>
    <row r="180" spans="1:45" x14ac:dyDescent="0.25">
      <c r="A180" s="174" t="s">
        <v>261</v>
      </c>
      <c r="B180" s="175">
        <v>245</v>
      </c>
      <c r="C180" s="176">
        <v>3000</v>
      </c>
      <c r="D180" s="179">
        <v>30.3</v>
      </c>
      <c r="E180" s="120">
        <v>0.98</v>
      </c>
      <c r="F180" s="120" t="s">
        <v>512</v>
      </c>
      <c r="G180" s="177">
        <v>19.266815180259275</v>
      </c>
      <c r="H180" s="178">
        <v>36</v>
      </c>
      <c r="I180" s="347">
        <v>12.413500000000001</v>
      </c>
      <c r="J180" s="178">
        <f t="shared" si="12"/>
        <v>103</v>
      </c>
      <c r="K180" s="125"/>
      <c r="L180" s="166"/>
      <c r="M180" s="166"/>
      <c r="N180" s="166"/>
      <c r="O180" s="166"/>
      <c r="P180" s="155"/>
      <c r="Q180" s="166"/>
      <c r="R180" s="166"/>
      <c r="S180" s="166"/>
      <c r="T180" s="166"/>
      <c r="U180" s="166"/>
      <c r="V180" s="166"/>
      <c r="W180" s="166"/>
      <c r="X180" s="166"/>
      <c r="Y180" s="166"/>
      <c r="Z180" s="154">
        <v>514</v>
      </c>
      <c r="AA180" s="159" t="s">
        <v>269</v>
      </c>
      <c r="AB180" s="160">
        <v>531</v>
      </c>
      <c r="AC180" s="161">
        <v>36</v>
      </c>
      <c r="AD180" s="371">
        <v>19.635899999999999</v>
      </c>
      <c r="AE180" s="122">
        <v>415</v>
      </c>
      <c r="AF180" s="59" t="s">
        <v>236</v>
      </c>
      <c r="AG180" s="27">
        <v>419</v>
      </c>
      <c r="AH180" s="125">
        <v>30</v>
      </c>
      <c r="AI180" s="371">
        <v>17.861000000000001</v>
      </c>
      <c r="AJ180" s="126">
        <v>415</v>
      </c>
      <c r="AK180" s="59" t="s">
        <v>236</v>
      </c>
      <c r="AL180" s="27">
        <v>419</v>
      </c>
      <c r="AM180" s="125">
        <v>30</v>
      </c>
      <c r="AN180" s="371">
        <v>17.861000000000001</v>
      </c>
      <c r="AO180" s="126">
        <v>415</v>
      </c>
      <c r="AP180" s="59" t="s">
        <v>236</v>
      </c>
      <c r="AQ180" s="27">
        <v>419</v>
      </c>
      <c r="AR180" s="125">
        <v>30</v>
      </c>
      <c r="AS180" s="371">
        <v>17.861000000000001</v>
      </c>
    </row>
    <row r="181" spans="1:45" x14ac:dyDescent="0.25">
      <c r="A181" s="174" t="s">
        <v>262</v>
      </c>
      <c r="B181" s="175">
        <v>258</v>
      </c>
      <c r="C181" s="176">
        <v>3100</v>
      </c>
      <c r="D181" s="179">
        <v>30.6</v>
      </c>
      <c r="E181" s="120">
        <v>0.75</v>
      </c>
      <c r="F181" s="120" t="s">
        <v>512</v>
      </c>
      <c r="G181" s="177">
        <v>22.030687162999275</v>
      </c>
      <c r="H181" s="178">
        <v>36</v>
      </c>
      <c r="I181" s="347">
        <v>11.28</v>
      </c>
      <c r="J181" s="178">
        <f t="shared" si="12"/>
        <v>104</v>
      </c>
      <c r="K181" s="125"/>
      <c r="L181" s="166"/>
      <c r="M181" s="166"/>
      <c r="N181" s="166"/>
      <c r="O181" s="166"/>
      <c r="P181" s="155"/>
      <c r="Q181" s="166"/>
      <c r="R181" s="166"/>
      <c r="S181" s="166"/>
      <c r="T181" s="166"/>
      <c r="U181" s="166"/>
      <c r="V181" s="166"/>
      <c r="W181" s="166"/>
      <c r="X181" s="166"/>
      <c r="Y181" s="166"/>
      <c r="Z181" s="154">
        <v>531</v>
      </c>
      <c r="AA181" s="59" t="s">
        <v>197</v>
      </c>
      <c r="AB181" s="27">
        <v>559</v>
      </c>
      <c r="AC181" s="125">
        <v>30</v>
      </c>
      <c r="AD181" s="371">
        <v>19.403999999999996</v>
      </c>
      <c r="AE181" s="122">
        <v>419</v>
      </c>
      <c r="AF181" s="123" t="s">
        <v>169</v>
      </c>
      <c r="AG181" s="163">
        <v>435</v>
      </c>
      <c r="AH181" s="125">
        <v>30</v>
      </c>
      <c r="AI181" s="371">
        <v>17.728750000000002</v>
      </c>
      <c r="AJ181" s="126">
        <v>419</v>
      </c>
      <c r="AK181" s="123" t="s">
        <v>169</v>
      </c>
      <c r="AL181" s="163">
        <v>435</v>
      </c>
      <c r="AM181" s="125">
        <v>30</v>
      </c>
      <c r="AN181" s="371">
        <v>17.728750000000002</v>
      </c>
      <c r="AO181" s="126">
        <v>419</v>
      </c>
      <c r="AP181" s="123" t="s">
        <v>169</v>
      </c>
      <c r="AQ181" s="163">
        <v>435</v>
      </c>
      <c r="AR181" s="125">
        <v>30</v>
      </c>
      <c r="AS181" s="371">
        <v>17.728750000000002</v>
      </c>
    </row>
    <row r="182" spans="1:45" x14ac:dyDescent="0.25">
      <c r="A182" s="174" t="s">
        <v>263</v>
      </c>
      <c r="B182" s="175">
        <v>291</v>
      </c>
      <c r="C182" s="176">
        <v>3540</v>
      </c>
      <c r="D182" s="179">
        <v>34.4</v>
      </c>
      <c r="E182" s="120">
        <v>0.85</v>
      </c>
      <c r="F182" s="120" t="s">
        <v>512</v>
      </c>
      <c r="G182" s="177">
        <v>22.124167750900014</v>
      </c>
      <c r="H182" s="178">
        <v>36</v>
      </c>
      <c r="I182" s="347">
        <v>12.408000000000003</v>
      </c>
      <c r="J182" s="178">
        <f t="shared" si="12"/>
        <v>117</v>
      </c>
      <c r="K182" s="125"/>
      <c r="L182" s="166"/>
      <c r="M182" s="166"/>
      <c r="N182" s="166"/>
      <c r="O182" s="166"/>
      <c r="P182" s="155"/>
      <c r="Q182" s="166"/>
      <c r="R182" s="166"/>
      <c r="S182" s="166"/>
      <c r="T182" s="166"/>
      <c r="U182" s="166"/>
      <c r="V182" s="166"/>
      <c r="W182" s="166"/>
      <c r="X182" s="166"/>
      <c r="Y182" s="166"/>
      <c r="Z182" s="154">
        <v>559</v>
      </c>
      <c r="AA182" s="59" t="s">
        <v>239</v>
      </c>
      <c r="AB182" s="27">
        <v>564</v>
      </c>
      <c r="AC182" s="125">
        <v>36</v>
      </c>
      <c r="AD182" s="371">
        <v>23.59</v>
      </c>
      <c r="AE182" s="122">
        <v>435</v>
      </c>
      <c r="AF182" s="167" t="s">
        <v>302</v>
      </c>
      <c r="AG182" s="125">
        <v>436</v>
      </c>
      <c r="AH182" s="125">
        <v>42</v>
      </c>
      <c r="AI182" s="371">
        <v>18.401500000000002</v>
      </c>
      <c r="AJ182" s="126">
        <v>435</v>
      </c>
      <c r="AK182" s="159" t="s">
        <v>302</v>
      </c>
      <c r="AL182" s="160">
        <v>436</v>
      </c>
      <c r="AM182" s="161">
        <v>42</v>
      </c>
      <c r="AN182" s="371">
        <v>18.401500000000002</v>
      </c>
      <c r="AO182" s="126">
        <v>435</v>
      </c>
      <c r="AP182" s="159" t="s">
        <v>302</v>
      </c>
      <c r="AQ182" s="160">
        <v>436</v>
      </c>
      <c r="AR182" s="161">
        <v>42</v>
      </c>
      <c r="AS182" s="371">
        <v>18.401500000000002</v>
      </c>
    </row>
    <row r="183" spans="1:45" x14ac:dyDescent="0.25">
      <c r="A183" s="174" t="s">
        <v>264</v>
      </c>
      <c r="B183" s="175">
        <v>329</v>
      </c>
      <c r="C183" s="176">
        <v>4020</v>
      </c>
      <c r="D183" s="179">
        <v>38.5</v>
      </c>
      <c r="E183" s="120">
        <v>0.96</v>
      </c>
      <c r="F183" s="120" t="s">
        <v>512</v>
      </c>
      <c r="G183" s="177">
        <v>22.292233608776545</v>
      </c>
      <c r="H183" s="178">
        <v>36</v>
      </c>
      <c r="I183" s="347">
        <v>13.648800000000001</v>
      </c>
      <c r="J183" s="178">
        <f t="shared" si="12"/>
        <v>131</v>
      </c>
      <c r="K183" s="125"/>
      <c r="L183" s="166"/>
      <c r="M183" s="166"/>
      <c r="N183" s="166"/>
      <c r="O183" s="166"/>
      <c r="P183" s="155"/>
      <c r="Q183" s="166"/>
      <c r="R183" s="166"/>
      <c r="S183" s="166"/>
      <c r="T183" s="166"/>
      <c r="U183" s="166"/>
      <c r="V183" s="166"/>
      <c r="W183" s="166"/>
      <c r="X183" s="166"/>
      <c r="Y183" s="166"/>
      <c r="Z183" s="154">
        <v>564</v>
      </c>
      <c r="AA183" s="159" t="s">
        <v>270</v>
      </c>
      <c r="AB183" s="160">
        <v>588</v>
      </c>
      <c r="AC183" s="161">
        <v>36</v>
      </c>
      <c r="AD183" s="371">
        <v>21.657599999999999</v>
      </c>
      <c r="AE183" s="122">
        <v>436</v>
      </c>
      <c r="AF183" s="167" t="s">
        <v>314</v>
      </c>
      <c r="AG183" s="125">
        <v>448</v>
      </c>
      <c r="AH183" s="125">
        <v>42</v>
      </c>
      <c r="AI183" s="371">
        <v>18.984899999999996</v>
      </c>
      <c r="AJ183" s="126">
        <v>436</v>
      </c>
      <c r="AK183" s="167" t="s">
        <v>324</v>
      </c>
      <c r="AL183" s="160">
        <v>439</v>
      </c>
      <c r="AM183" s="125">
        <v>48</v>
      </c>
      <c r="AN183" s="371">
        <v>20.381999999999998</v>
      </c>
      <c r="AO183" s="126">
        <v>436</v>
      </c>
      <c r="AP183" s="167" t="s">
        <v>324</v>
      </c>
      <c r="AQ183" s="160">
        <v>439</v>
      </c>
      <c r="AR183" s="125">
        <v>48</v>
      </c>
      <c r="AS183" s="371">
        <v>20.381999999999998</v>
      </c>
    </row>
    <row r="184" spans="1:45" x14ac:dyDescent="0.25">
      <c r="A184" s="174" t="s">
        <v>265</v>
      </c>
      <c r="B184" s="175">
        <v>371</v>
      </c>
      <c r="C184" s="176">
        <v>4580</v>
      </c>
      <c r="D184" s="179">
        <v>43</v>
      </c>
      <c r="E184" s="120">
        <v>1.0900000000000001</v>
      </c>
      <c r="F184" s="120" t="s">
        <v>512</v>
      </c>
      <c r="G184" s="177">
        <v>22.40527495024627</v>
      </c>
      <c r="H184" s="178">
        <v>36</v>
      </c>
      <c r="I184" s="347">
        <v>14.664</v>
      </c>
      <c r="J184" s="178">
        <f t="shared" si="12"/>
        <v>146</v>
      </c>
      <c r="K184" s="125"/>
      <c r="L184" s="166"/>
      <c r="M184" s="166"/>
      <c r="N184" s="166"/>
      <c r="O184" s="166"/>
      <c r="P184" s="155"/>
      <c r="Q184" s="166"/>
      <c r="R184" s="166"/>
      <c r="S184" s="166"/>
      <c r="T184" s="166"/>
      <c r="U184" s="166"/>
      <c r="V184" s="166"/>
      <c r="W184" s="166"/>
      <c r="X184" s="166"/>
      <c r="Y184" s="166"/>
      <c r="Z184" s="154">
        <v>588</v>
      </c>
      <c r="AA184" s="59" t="s">
        <v>198</v>
      </c>
      <c r="AB184" s="27">
        <v>607</v>
      </c>
      <c r="AC184" s="125">
        <v>36</v>
      </c>
      <c r="AD184" s="371">
        <v>20.853000000000002</v>
      </c>
      <c r="AE184" s="122">
        <v>448</v>
      </c>
      <c r="AF184" s="159" t="s">
        <v>267</v>
      </c>
      <c r="AG184" s="160">
        <v>450</v>
      </c>
      <c r="AH184" s="161">
        <v>36</v>
      </c>
      <c r="AI184" s="371">
        <v>16.919999999999998</v>
      </c>
      <c r="AJ184" s="126">
        <v>439</v>
      </c>
      <c r="AK184" s="159" t="s">
        <v>314</v>
      </c>
      <c r="AL184" s="160">
        <v>448</v>
      </c>
      <c r="AM184" s="161">
        <v>42</v>
      </c>
      <c r="AN184" s="371">
        <v>18.984899999999996</v>
      </c>
      <c r="AO184" s="126">
        <v>439</v>
      </c>
      <c r="AP184" s="159" t="s">
        <v>314</v>
      </c>
      <c r="AQ184" s="160">
        <v>448</v>
      </c>
      <c r="AR184" s="161">
        <v>42</v>
      </c>
      <c r="AS184" s="371">
        <v>18.984899999999996</v>
      </c>
    </row>
    <row r="185" spans="1:45" x14ac:dyDescent="0.25">
      <c r="A185" s="174" t="s">
        <v>266</v>
      </c>
      <c r="B185" s="175">
        <v>414</v>
      </c>
      <c r="C185" s="176">
        <v>5170</v>
      </c>
      <c r="D185" s="179">
        <v>47.7</v>
      </c>
      <c r="E185" s="120">
        <v>1.22</v>
      </c>
      <c r="F185" s="120" t="s">
        <v>512</v>
      </c>
      <c r="G185" s="177">
        <v>22.557324623720007</v>
      </c>
      <c r="H185" s="178">
        <v>36</v>
      </c>
      <c r="I185" s="347">
        <v>15.904799999999998</v>
      </c>
      <c r="J185" s="178">
        <f t="shared" si="12"/>
        <v>162</v>
      </c>
      <c r="K185" s="161"/>
      <c r="L185" s="166"/>
      <c r="M185" s="166"/>
      <c r="N185" s="166"/>
      <c r="O185" s="166"/>
      <c r="P185" s="155"/>
      <c r="Q185" s="166"/>
      <c r="R185" s="166"/>
      <c r="S185" s="166"/>
      <c r="T185" s="166"/>
      <c r="U185" s="166"/>
      <c r="V185" s="166"/>
      <c r="W185" s="166"/>
      <c r="X185" s="166"/>
      <c r="Y185" s="166"/>
      <c r="Z185" s="154">
        <v>607</v>
      </c>
      <c r="AA185" s="59" t="s">
        <v>240</v>
      </c>
      <c r="AB185" s="27">
        <v>624</v>
      </c>
      <c r="AC185" s="125">
        <v>36</v>
      </c>
      <c r="AD185" s="371">
        <v>25.596800000000002</v>
      </c>
      <c r="AE185" s="122">
        <v>450</v>
      </c>
      <c r="AF185" s="167" t="s">
        <v>284</v>
      </c>
      <c r="AG185" s="125">
        <v>455</v>
      </c>
      <c r="AH185" s="125">
        <v>42</v>
      </c>
      <c r="AI185" s="371">
        <v>16.783799999999999</v>
      </c>
      <c r="AJ185" s="126">
        <v>448</v>
      </c>
      <c r="AK185" s="159" t="s">
        <v>267</v>
      </c>
      <c r="AL185" s="160">
        <v>450</v>
      </c>
      <c r="AM185" s="161">
        <v>36</v>
      </c>
      <c r="AN185" s="371">
        <v>16.919999999999998</v>
      </c>
      <c r="AO185" s="126">
        <v>448</v>
      </c>
      <c r="AP185" s="159" t="s">
        <v>267</v>
      </c>
      <c r="AQ185" s="160">
        <v>450</v>
      </c>
      <c r="AR185" s="161">
        <v>36</v>
      </c>
      <c r="AS185" s="371">
        <v>16.919999999999998</v>
      </c>
    </row>
    <row r="186" spans="1:45" x14ac:dyDescent="0.25">
      <c r="A186" s="174" t="s">
        <v>267</v>
      </c>
      <c r="B186" s="175">
        <v>450</v>
      </c>
      <c r="C186" s="176">
        <v>5680</v>
      </c>
      <c r="D186" s="179">
        <v>51.7</v>
      </c>
      <c r="E186" s="120">
        <v>1.34</v>
      </c>
      <c r="F186" s="120" t="s">
        <v>512</v>
      </c>
      <c r="G186" s="177">
        <v>22.617038664486394</v>
      </c>
      <c r="H186" s="178">
        <v>36</v>
      </c>
      <c r="I186" s="347">
        <v>16.919999999999998</v>
      </c>
      <c r="J186" s="178">
        <f t="shared" si="12"/>
        <v>176</v>
      </c>
      <c r="K186" s="161"/>
      <c r="L186" s="166"/>
      <c r="M186" s="166"/>
      <c r="N186" s="166"/>
      <c r="O186" s="166"/>
      <c r="P186" s="155"/>
      <c r="Q186" s="166"/>
      <c r="R186" s="166"/>
      <c r="S186" s="166"/>
      <c r="T186" s="166"/>
      <c r="U186" s="166"/>
      <c r="V186" s="166"/>
      <c r="W186" s="166"/>
      <c r="X186" s="166"/>
      <c r="Y186" s="166"/>
      <c r="Z186" s="154">
        <v>624</v>
      </c>
      <c r="AA186" s="159" t="s">
        <v>38</v>
      </c>
      <c r="AB186" s="160">
        <v>644</v>
      </c>
      <c r="AC186" s="161">
        <v>36</v>
      </c>
      <c r="AD186" s="371">
        <v>23.462399999999999</v>
      </c>
      <c r="AE186" s="122">
        <v>455</v>
      </c>
      <c r="AF186" s="59" t="s">
        <v>195</v>
      </c>
      <c r="AG186" s="27">
        <v>459</v>
      </c>
      <c r="AH186" s="125">
        <v>30</v>
      </c>
      <c r="AI186" s="371">
        <v>16.253999999999998</v>
      </c>
      <c r="AJ186" s="126">
        <v>450</v>
      </c>
      <c r="AK186" s="159" t="s">
        <v>284</v>
      </c>
      <c r="AL186" s="160">
        <v>455</v>
      </c>
      <c r="AM186" s="161">
        <v>42</v>
      </c>
      <c r="AN186" s="371">
        <v>16.783799999999999</v>
      </c>
      <c r="AO186" s="126">
        <v>450</v>
      </c>
      <c r="AP186" s="159" t="s">
        <v>284</v>
      </c>
      <c r="AQ186" s="160">
        <v>455</v>
      </c>
      <c r="AR186" s="161">
        <v>42</v>
      </c>
      <c r="AS186" s="371">
        <v>16.783799999999999</v>
      </c>
    </row>
    <row r="187" spans="1:45" x14ac:dyDescent="0.25">
      <c r="A187" s="174" t="s">
        <v>268</v>
      </c>
      <c r="B187" s="175">
        <v>491</v>
      </c>
      <c r="C187" s="176">
        <v>6260</v>
      </c>
      <c r="D187" s="179">
        <v>56.3</v>
      </c>
      <c r="E187" s="120">
        <v>1.46</v>
      </c>
      <c r="F187" s="120" t="s">
        <v>512</v>
      </c>
      <c r="G187" s="177">
        <v>22.799075696033192</v>
      </c>
      <c r="H187" s="178">
        <v>36</v>
      </c>
      <c r="I187" s="347">
        <v>18.265499999999999</v>
      </c>
      <c r="J187" s="178">
        <f t="shared" si="12"/>
        <v>192</v>
      </c>
      <c r="K187" s="161"/>
      <c r="L187" s="166"/>
      <c r="M187" s="166"/>
      <c r="N187" s="166"/>
      <c r="O187" s="166"/>
      <c r="P187" s="155"/>
      <c r="Q187" s="166"/>
      <c r="R187" s="166"/>
      <c r="S187" s="166"/>
      <c r="T187" s="166"/>
      <c r="U187" s="166"/>
      <c r="V187" s="166"/>
      <c r="W187" s="166"/>
      <c r="X187" s="166"/>
      <c r="Y187" s="166"/>
      <c r="Z187" s="154">
        <v>644</v>
      </c>
      <c r="AA187" s="59" t="s">
        <v>199</v>
      </c>
      <c r="AB187" s="27">
        <v>656</v>
      </c>
      <c r="AC187" s="125">
        <v>36</v>
      </c>
      <c r="AD187" s="371">
        <v>22.301999999999996</v>
      </c>
      <c r="AE187" s="122">
        <v>459</v>
      </c>
      <c r="AF187" s="59" t="s">
        <v>237</v>
      </c>
      <c r="AG187" s="27">
        <v>466</v>
      </c>
      <c r="AH187" s="125">
        <v>36</v>
      </c>
      <c r="AI187" s="371">
        <v>19.534399999999998</v>
      </c>
      <c r="AJ187" s="126">
        <v>455</v>
      </c>
      <c r="AK187" s="59" t="s">
        <v>195</v>
      </c>
      <c r="AL187" s="27">
        <v>459</v>
      </c>
      <c r="AM187" s="125">
        <v>30</v>
      </c>
      <c r="AN187" s="371">
        <v>16.253999999999998</v>
      </c>
      <c r="AO187" s="126">
        <v>455</v>
      </c>
      <c r="AP187" s="59" t="s">
        <v>195</v>
      </c>
      <c r="AQ187" s="27">
        <v>459</v>
      </c>
      <c r="AR187" s="125">
        <v>30</v>
      </c>
      <c r="AS187" s="371">
        <v>16.253999999999998</v>
      </c>
    </row>
    <row r="188" spans="1:45" x14ac:dyDescent="0.25">
      <c r="A188" s="174" t="s">
        <v>269</v>
      </c>
      <c r="B188" s="175">
        <v>531</v>
      </c>
      <c r="C188" s="176">
        <v>6820</v>
      </c>
      <c r="D188" s="179">
        <v>60.7</v>
      </c>
      <c r="E188" s="120">
        <v>1.57</v>
      </c>
      <c r="F188" s="120" t="s">
        <v>512</v>
      </c>
      <c r="G188" s="177">
        <v>23.010569261943292</v>
      </c>
      <c r="H188" s="178">
        <v>36</v>
      </c>
      <c r="I188" s="347">
        <v>19.635899999999999</v>
      </c>
      <c r="J188" s="178">
        <f t="shared" si="12"/>
        <v>207</v>
      </c>
      <c r="K188" s="161"/>
      <c r="L188" s="166"/>
      <c r="M188" s="166"/>
      <c r="N188" s="166"/>
      <c r="O188" s="166"/>
      <c r="P188" s="155"/>
      <c r="Q188" s="166"/>
      <c r="R188" s="166"/>
      <c r="S188" s="166"/>
      <c r="T188" s="166"/>
      <c r="U188" s="166"/>
      <c r="V188" s="166"/>
      <c r="W188" s="166"/>
      <c r="X188" s="166"/>
      <c r="Y188" s="166"/>
      <c r="Z188" s="154">
        <v>656</v>
      </c>
      <c r="AA188" s="59" t="s">
        <v>200</v>
      </c>
      <c r="AB188" s="27">
        <v>707</v>
      </c>
      <c r="AC188" s="125">
        <v>36</v>
      </c>
      <c r="AD188" s="371">
        <v>23.625000000000004</v>
      </c>
      <c r="AE188" s="122">
        <v>466</v>
      </c>
      <c r="AF188" s="123" t="s">
        <v>170</v>
      </c>
      <c r="AG188" s="163">
        <v>483</v>
      </c>
      <c r="AH188" s="125">
        <v>30</v>
      </c>
      <c r="AI188" s="371">
        <v>19.36525</v>
      </c>
      <c r="AJ188" s="126">
        <v>459</v>
      </c>
      <c r="AK188" s="59" t="s">
        <v>237</v>
      </c>
      <c r="AL188" s="27">
        <v>466</v>
      </c>
      <c r="AM188" s="125">
        <v>36</v>
      </c>
      <c r="AN188" s="371">
        <v>19.534399999999998</v>
      </c>
      <c r="AO188" s="126">
        <v>459</v>
      </c>
      <c r="AP188" s="59" t="s">
        <v>237</v>
      </c>
      <c r="AQ188" s="27">
        <v>466</v>
      </c>
      <c r="AR188" s="125">
        <v>36</v>
      </c>
      <c r="AS188" s="371">
        <v>19.534399999999998</v>
      </c>
    </row>
    <row r="189" spans="1:45" x14ac:dyDescent="0.25">
      <c r="A189" s="174" t="s">
        <v>270</v>
      </c>
      <c r="B189" s="175">
        <v>588</v>
      </c>
      <c r="C189" s="176">
        <v>7650</v>
      </c>
      <c r="D189" s="179">
        <v>67.2</v>
      </c>
      <c r="E189" s="120">
        <v>1.73</v>
      </c>
      <c r="F189" s="120" t="s">
        <v>512</v>
      </c>
      <c r="G189" s="177">
        <v>23.282205703417485</v>
      </c>
      <c r="H189" s="178">
        <v>36</v>
      </c>
      <c r="I189" s="347">
        <v>21.657599999999999</v>
      </c>
      <c r="J189" s="178">
        <f t="shared" si="12"/>
        <v>229</v>
      </c>
      <c r="K189" s="161"/>
      <c r="L189" s="166"/>
      <c r="M189" s="166"/>
      <c r="N189" s="166"/>
      <c r="O189" s="166"/>
      <c r="P189" s="155"/>
      <c r="Q189" s="166"/>
      <c r="R189" s="166"/>
      <c r="S189" s="166"/>
      <c r="T189" s="166"/>
      <c r="U189" s="166"/>
      <c r="V189" s="166"/>
      <c r="W189" s="166"/>
      <c r="X189" s="166"/>
      <c r="Y189" s="166"/>
      <c r="Z189" s="154">
        <v>707</v>
      </c>
      <c r="AA189" s="159" t="s">
        <v>271</v>
      </c>
      <c r="AB189" s="160">
        <v>718</v>
      </c>
      <c r="AC189" s="161">
        <v>36</v>
      </c>
      <c r="AD189" s="371">
        <v>26.157999999999998</v>
      </c>
      <c r="AE189" s="122">
        <v>483</v>
      </c>
      <c r="AF189" s="167" t="s">
        <v>315</v>
      </c>
      <c r="AG189" s="125">
        <v>487</v>
      </c>
      <c r="AH189" s="125">
        <v>42</v>
      </c>
      <c r="AI189" s="371">
        <v>19.926300000000001</v>
      </c>
      <c r="AJ189" s="126">
        <v>466</v>
      </c>
      <c r="AK189" s="123" t="s">
        <v>170</v>
      </c>
      <c r="AL189" s="163">
        <v>483</v>
      </c>
      <c r="AM189" s="125">
        <v>30</v>
      </c>
      <c r="AN189" s="371">
        <v>19.36525</v>
      </c>
      <c r="AO189" s="126">
        <v>466</v>
      </c>
      <c r="AP189" s="123" t="s">
        <v>170</v>
      </c>
      <c r="AQ189" s="163">
        <v>483</v>
      </c>
      <c r="AR189" s="125">
        <v>30</v>
      </c>
      <c r="AS189" s="371">
        <v>19.36525</v>
      </c>
    </row>
    <row r="190" spans="1:45" x14ac:dyDescent="0.25">
      <c r="A190" s="174" t="s">
        <v>38</v>
      </c>
      <c r="B190" s="175">
        <v>644</v>
      </c>
      <c r="C190" s="176">
        <v>8490</v>
      </c>
      <c r="D190" s="179">
        <v>73.5</v>
      </c>
      <c r="E190" s="120">
        <v>1.89</v>
      </c>
      <c r="F190" s="120" t="s">
        <v>512</v>
      </c>
      <c r="G190" s="177">
        <v>23.527180360723982</v>
      </c>
      <c r="H190" s="178">
        <v>36</v>
      </c>
      <c r="I190" s="347">
        <v>23.462399999999999</v>
      </c>
      <c r="J190" s="178">
        <f t="shared" si="12"/>
        <v>250</v>
      </c>
      <c r="K190" s="161"/>
      <c r="L190" s="166"/>
      <c r="M190" s="166"/>
      <c r="N190" s="166"/>
      <c r="O190" s="166"/>
      <c r="P190" s="155"/>
      <c r="Q190" s="166"/>
      <c r="R190" s="166"/>
      <c r="S190" s="166"/>
      <c r="T190" s="166"/>
      <c r="U190" s="166"/>
      <c r="V190" s="166"/>
      <c r="W190" s="166"/>
      <c r="X190" s="166"/>
      <c r="Y190" s="166"/>
      <c r="Z190" s="154">
        <v>718</v>
      </c>
      <c r="AA190" s="59" t="s">
        <v>201</v>
      </c>
      <c r="AB190" s="27">
        <v>756</v>
      </c>
      <c r="AC190" s="125">
        <v>36</v>
      </c>
      <c r="AD190" s="371">
        <v>25.388999999999999</v>
      </c>
      <c r="AE190" s="122">
        <v>487</v>
      </c>
      <c r="AF190" s="159" t="s">
        <v>268</v>
      </c>
      <c r="AG190" s="160">
        <v>491</v>
      </c>
      <c r="AH190" s="161">
        <v>36</v>
      </c>
      <c r="AI190" s="371">
        <v>18.265499999999999</v>
      </c>
      <c r="AJ190" s="126">
        <v>483</v>
      </c>
      <c r="AK190" s="187" t="s">
        <v>315</v>
      </c>
      <c r="AL190" s="160">
        <v>487</v>
      </c>
      <c r="AM190" s="161">
        <v>42</v>
      </c>
      <c r="AN190" s="371">
        <v>19.926300000000001</v>
      </c>
      <c r="AO190" s="126">
        <v>483</v>
      </c>
      <c r="AP190" s="187" t="s">
        <v>315</v>
      </c>
      <c r="AQ190" s="160">
        <v>487</v>
      </c>
      <c r="AR190" s="161">
        <v>42</v>
      </c>
      <c r="AS190" s="371">
        <v>19.926300000000001</v>
      </c>
    </row>
    <row r="191" spans="1:45" x14ac:dyDescent="0.25">
      <c r="A191" s="174" t="s">
        <v>271</v>
      </c>
      <c r="B191" s="175">
        <v>718</v>
      </c>
      <c r="C191" s="176">
        <v>9600</v>
      </c>
      <c r="D191" s="179">
        <v>82</v>
      </c>
      <c r="E191" s="120">
        <v>2.09</v>
      </c>
      <c r="F191" s="120" t="s">
        <v>512</v>
      </c>
      <c r="G191" s="177">
        <v>23.884188855549006</v>
      </c>
      <c r="H191" s="178">
        <v>36</v>
      </c>
      <c r="I191" s="347">
        <v>26.157999999999998</v>
      </c>
      <c r="J191" s="178">
        <f t="shared" si="12"/>
        <v>279</v>
      </c>
      <c r="K191" s="161"/>
      <c r="L191" s="166"/>
      <c r="M191" s="166"/>
      <c r="N191" s="166"/>
      <c r="O191" s="166"/>
      <c r="P191" s="155"/>
      <c r="Q191" s="166"/>
      <c r="R191" s="166"/>
      <c r="S191" s="166"/>
      <c r="T191" s="166"/>
      <c r="U191" s="166"/>
      <c r="V191" s="166"/>
      <c r="W191" s="166"/>
      <c r="X191" s="166"/>
      <c r="Y191" s="166"/>
      <c r="Z191" s="154">
        <v>756</v>
      </c>
      <c r="AA191" s="59" t="s">
        <v>202</v>
      </c>
      <c r="AB191" s="27">
        <v>838</v>
      </c>
      <c r="AC191" s="125">
        <v>36</v>
      </c>
      <c r="AD191" s="371">
        <v>27.594000000000001</v>
      </c>
      <c r="AE191" s="122">
        <v>491</v>
      </c>
      <c r="AF191" s="167" t="s">
        <v>285</v>
      </c>
      <c r="AG191" s="125">
        <v>502</v>
      </c>
      <c r="AH191" s="125">
        <v>42</v>
      </c>
      <c r="AI191" s="371">
        <v>18.43675</v>
      </c>
      <c r="AJ191" s="126">
        <v>487</v>
      </c>
      <c r="AK191" s="159" t="s">
        <v>268</v>
      </c>
      <c r="AL191" s="160">
        <v>491</v>
      </c>
      <c r="AM191" s="161">
        <v>36</v>
      </c>
      <c r="AN191" s="371">
        <v>18.265499999999999</v>
      </c>
      <c r="AO191" s="126">
        <v>487</v>
      </c>
      <c r="AP191" s="159" t="s">
        <v>268</v>
      </c>
      <c r="AQ191" s="160">
        <v>491</v>
      </c>
      <c r="AR191" s="161">
        <v>36</v>
      </c>
      <c r="AS191" s="371">
        <v>18.265499999999999</v>
      </c>
    </row>
    <row r="192" spans="1:45" x14ac:dyDescent="0.25">
      <c r="A192" s="174" t="s">
        <v>272</v>
      </c>
      <c r="B192" s="175">
        <v>789</v>
      </c>
      <c r="C192" s="176">
        <v>10700</v>
      </c>
      <c r="D192" s="179">
        <v>89.8</v>
      </c>
      <c r="E192" s="120">
        <v>2.2799999999999998</v>
      </c>
      <c r="F192" s="120" t="s">
        <v>512</v>
      </c>
      <c r="G192" s="177">
        <v>24.216358603922213</v>
      </c>
      <c r="H192" s="178">
        <v>42</v>
      </c>
      <c r="I192" s="347">
        <v>28.438200000000002</v>
      </c>
      <c r="J192" s="178">
        <f t="shared" si="12"/>
        <v>306</v>
      </c>
      <c r="K192" s="161"/>
      <c r="L192" s="166"/>
      <c r="M192" s="166"/>
      <c r="N192" s="166"/>
      <c r="O192" s="166"/>
      <c r="P192" s="155"/>
      <c r="Q192" s="166"/>
      <c r="R192" s="166"/>
      <c r="S192" s="166"/>
      <c r="T192" s="166"/>
      <c r="U192" s="166"/>
      <c r="V192" s="166"/>
      <c r="W192" s="166"/>
      <c r="X192" s="166"/>
      <c r="Y192" s="166"/>
      <c r="Z192" s="154">
        <v>838</v>
      </c>
      <c r="AA192" s="59" t="s">
        <v>203</v>
      </c>
      <c r="AB192" s="27">
        <v>931</v>
      </c>
      <c r="AC192" s="125">
        <v>36</v>
      </c>
      <c r="AD192" s="371">
        <v>29.987999999999992</v>
      </c>
      <c r="AE192" s="122">
        <v>502</v>
      </c>
      <c r="AF192" s="59" t="s">
        <v>196</v>
      </c>
      <c r="AG192" s="27">
        <v>506</v>
      </c>
      <c r="AH192" s="125">
        <v>30</v>
      </c>
      <c r="AI192" s="371">
        <v>17.766000000000002</v>
      </c>
      <c r="AJ192" s="126">
        <v>491</v>
      </c>
      <c r="AK192" s="159" t="s">
        <v>285</v>
      </c>
      <c r="AL192" s="160">
        <v>502</v>
      </c>
      <c r="AM192" s="161">
        <v>42</v>
      </c>
      <c r="AN192" s="371">
        <v>18.43675</v>
      </c>
      <c r="AO192" s="126">
        <v>491</v>
      </c>
      <c r="AP192" s="159" t="s">
        <v>285</v>
      </c>
      <c r="AQ192" s="160">
        <v>502</v>
      </c>
      <c r="AR192" s="161">
        <v>42</v>
      </c>
      <c r="AS192" s="371">
        <v>18.43675</v>
      </c>
    </row>
    <row r="193" spans="1:45" x14ac:dyDescent="0.25">
      <c r="A193" s="174" t="s">
        <v>273</v>
      </c>
      <c r="B193" s="175">
        <v>864</v>
      </c>
      <c r="C193" s="176">
        <v>11900</v>
      </c>
      <c r="D193" s="119">
        <v>98.4</v>
      </c>
      <c r="E193" s="120">
        <v>2.48</v>
      </c>
      <c r="F193" s="120" t="s">
        <v>512</v>
      </c>
      <c r="G193" s="177">
        <v>24.554067819414211</v>
      </c>
      <c r="H193" s="178">
        <v>42</v>
      </c>
      <c r="I193" s="347">
        <v>31.132799999999996</v>
      </c>
      <c r="J193" s="178">
        <f t="shared" si="12"/>
        <v>335</v>
      </c>
      <c r="K193" s="161"/>
      <c r="L193" s="166"/>
      <c r="M193" s="166"/>
      <c r="N193" s="166"/>
      <c r="O193" s="166"/>
      <c r="P193" s="155"/>
      <c r="Q193" s="166"/>
      <c r="R193" s="166"/>
      <c r="S193" s="166"/>
      <c r="T193" s="166"/>
      <c r="U193" s="166"/>
      <c r="V193" s="166"/>
      <c r="W193" s="166"/>
      <c r="X193" s="166"/>
      <c r="Y193" s="166"/>
      <c r="Z193" s="154">
        <v>931</v>
      </c>
      <c r="AA193" s="59" t="s">
        <v>204</v>
      </c>
      <c r="AB193" s="27">
        <v>1040</v>
      </c>
      <c r="AC193" s="125">
        <v>36</v>
      </c>
      <c r="AD193" s="371">
        <v>32.697000000000003</v>
      </c>
      <c r="AE193" s="122">
        <v>506</v>
      </c>
      <c r="AF193" s="59" t="s">
        <v>238</v>
      </c>
      <c r="AG193" s="27">
        <v>514</v>
      </c>
      <c r="AH193" s="125">
        <v>36</v>
      </c>
      <c r="AI193" s="371">
        <v>21.5808</v>
      </c>
      <c r="AJ193" s="126">
        <v>502</v>
      </c>
      <c r="AK193" s="167" t="s">
        <v>325</v>
      </c>
      <c r="AL193" s="160">
        <v>504</v>
      </c>
      <c r="AM193" s="125">
        <v>48</v>
      </c>
      <c r="AN193" s="371">
        <v>21.231249999999999</v>
      </c>
      <c r="AO193" s="126">
        <v>502</v>
      </c>
      <c r="AP193" s="167" t="s">
        <v>325</v>
      </c>
      <c r="AQ193" s="160">
        <v>504</v>
      </c>
      <c r="AR193" s="125">
        <v>48</v>
      </c>
      <c r="AS193" s="371">
        <v>21.231249999999999</v>
      </c>
    </row>
    <row r="194" spans="1:45" x14ac:dyDescent="0.25">
      <c r="A194" s="174" t="s">
        <v>274</v>
      </c>
      <c r="B194" s="175">
        <v>957</v>
      </c>
      <c r="C194" s="176">
        <v>13400</v>
      </c>
      <c r="D194" s="119">
        <v>108</v>
      </c>
      <c r="E194" s="120">
        <v>2.72</v>
      </c>
      <c r="F194" s="120" t="s">
        <v>512</v>
      </c>
      <c r="G194" s="177">
        <v>24.975873800968898</v>
      </c>
      <c r="H194" s="178">
        <v>42</v>
      </c>
      <c r="I194" s="347">
        <v>34.275999999999996</v>
      </c>
      <c r="J194" s="178">
        <f t="shared" si="12"/>
        <v>370</v>
      </c>
      <c r="K194" s="161"/>
      <c r="L194" s="166"/>
      <c r="M194" s="166"/>
      <c r="N194" s="166"/>
      <c r="O194" s="166"/>
      <c r="P194" s="155"/>
      <c r="Q194" s="166"/>
      <c r="R194" s="166"/>
      <c r="S194" s="166"/>
      <c r="T194" s="166"/>
      <c r="U194" s="166"/>
      <c r="V194" s="166"/>
      <c r="W194" s="166"/>
      <c r="X194" s="166"/>
      <c r="Y194" s="166"/>
      <c r="Z194" s="154">
        <v>1040</v>
      </c>
      <c r="AA194" s="59" t="s">
        <v>205</v>
      </c>
      <c r="AB194" s="27">
        <v>1150</v>
      </c>
      <c r="AC194" s="125">
        <v>36</v>
      </c>
      <c r="AD194" s="371">
        <v>35.658000000000008</v>
      </c>
      <c r="AE194" s="122">
        <v>514</v>
      </c>
      <c r="AF194" s="159" t="s">
        <v>269</v>
      </c>
      <c r="AG194" s="160">
        <v>531</v>
      </c>
      <c r="AH194" s="161">
        <v>36</v>
      </c>
      <c r="AI194" s="371">
        <v>19.635899999999999</v>
      </c>
      <c r="AJ194" s="126">
        <v>504</v>
      </c>
      <c r="AK194" s="59" t="s">
        <v>196</v>
      </c>
      <c r="AL194" s="27">
        <v>506</v>
      </c>
      <c r="AM194" s="125">
        <v>30</v>
      </c>
      <c r="AN194" s="371">
        <v>17.766000000000002</v>
      </c>
      <c r="AO194" s="126">
        <v>504</v>
      </c>
      <c r="AP194" s="59" t="s">
        <v>196</v>
      </c>
      <c r="AQ194" s="27">
        <v>506</v>
      </c>
      <c r="AR194" s="125">
        <v>30</v>
      </c>
      <c r="AS194" s="371">
        <v>17.766000000000002</v>
      </c>
    </row>
    <row r="195" spans="1:45" ht="15.75" thickBot="1" x14ac:dyDescent="0.3">
      <c r="A195" s="174" t="s">
        <v>275</v>
      </c>
      <c r="B195" s="175">
        <v>1060</v>
      </c>
      <c r="C195" s="176">
        <v>15100</v>
      </c>
      <c r="D195" s="119">
        <v>119</v>
      </c>
      <c r="E195" s="120">
        <v>2.99</v>
      </c>
      <c r="F195" s="120" t="s">
        <v>512</v>
      </c>
      <c r="G195" s="177">
        <v>25.409634671174285</v>
      </c>
      <c r="H195" s="178">
        <v>42</v>
      </c>
      <c r="I195" s="347">
        <v>37.223999999999997</v>
      </c>
      <c r="J195" s="178">
        <f t="shared" si="12"/>
        <v>408</v>
      </c>
      <c r="K195" s="161"/>
      <c r="L195" s="166"/>
      <c r="M195" s="166"/>
      <c r="N195" s="166"/>
      <c r="O195" s="166"/>
      <c r="P195" s="155"/>
      <c r="Q195" s="166"/>
      <c r="R195" s="166"/>
      <c r="S195" s="166"/>
      <c r="T195" s="166"/>
      <c r="U195" s="166"/>
      <c r="V195" s="166"/>
      <c r="W195" s="166"/>
      <c r="X195" s="166"/>
      <c r="Y195" s="166"/>
      <c r="Z195" s="154">
        <v>1150</v>
      </c>
      <c r="AA195" s="72" t="s">
        <v>206</v>
      </c>
      <c r="AB195" s="168">
        <v>1280</v>
      </c>
      <c r="AC195" s="150">
        <v>36</v>
      </c>
      <c r="AD195" s="385">
        <v>38.682000000000002</v>
      </c>
      <c r="AE195" s="122">
        <v>531</v>
      </c>
      <c r="AF195" s="167" t="s">
        <v>303</v>
      </c>
      <c r="AG195" s="125">
        <v>539</v>
      </c>
      <c r="AH195" s="125">
        <v>42</v>
      </c>
      <c r="AI195" s="371">
        <v>18.543050000000001</v>
      </c>
      <c r="AJ195" s="126">
        <v>506</v>
      </c>
      <c r="AK195" s="59" t="s">
        <v>238</v>
      </c>
      <c r="AL195" s="27">
        <v>514</v>
      </c>
      <c r="AM195" s="125">
        <v>36</v>
      </c>
      <c r="AN195" s="371">
        <v>21.5808</v>
      </c>
      <c r="AO195" s="126">
        <v>506</v>
      </c>
      <c r="AP195" s="59" t="s">
        <v>238</v>
      </c>
      <c r="AQ195" s="27">
        <v>514</v>
      </c>
      <c r="AR195" s="125">
        <v>36</v>
      </c>
      <c r="AS195" s="371">
        <v>21.5808</v>
      </c>
    </row>
    <row r="196" spans="1:45" ht="15.75" thickBot="1" x14ac:dyDescent="0.3">
      <c r="A196" s="174" t="s">
        <v>276</v>
      </c>
      <c r="B196" s="175">
        <v>1170</v>
      </c>
      <c r="C196" s="176">
        <v>17100</v>
      </c>
      <c r="D196" s="119">
        <v>132</v>
      </c>
      <c r="E196" s="120">
        <v>3.27</v>
      </c>
      <c r="F196" s="120" t="s">
        <v>512</v>
      </c>
      <c r="G196" s="177">
        <v>25.870501704212501</v>
      </c>
      <c r="H196" s="178">
        <v>42</v>
      </c>
      <c r="I196" s="347">
        <v>40.8155</v>
      </c>
      <c r="J196" s="178">
        <f t="shared" si="12"/>
        <v>450</v>
      </c>
      <c r="K196" s="161"/>
      <c r="L196" s="166"/>
      <c r="M196" s="166"/>
      <c r="N196" s="166"/>
      <c r="O196" s="166"/>
      <c r="P196" s="155"/>
      <c r="Q196" s="166"/>
      <c r="R196" s="166"/>
      <c r="S196" s="166"/>
      <c r="T196" s="166"/>
      <c r="U196" s="166"/>
      <c r="V196" s="166"/>
      <c r="W196" s="166"/>
      <c r="X196" s="166"/>
      <c r="Y196" s="166"/>
      <c r="Z196" s="165">
        <v>1280</v>
      </c>
      <c r="AA196" s="80" t="s">
        <v>353</v>
      </c>
      <c r="AB196" s="153"/>
      <c r="AC196" s="153"/>
      <c r="AD196" s="377"/>
      <c r="AE196" s="351">
        <v>539</v>
      </c>
      <c r="AF196" s="167" t="s">
        <v>316</v>
      </c>
      <c r="AG196" s="125">
        <v>549</v>
      </c>
      <c r="AH196" s="125">
        <v>42</v>
      </c>
      <c r="AI196" s="371">
        <v>21.0246</v>
      </c>
      <c r="AJ196" s="126">
        <v>514</v>
      </c>
      <c r="AK196" s="159" t="s">
        <v>269</v>
      </c>
      <c r="AL196" s="160">
        <v>531</v>
      </c>
      <c r="AM196" s="161">
        <v>36</v>
      </c>
      <c r="AN196" s="371">
        <v>19.635899999999999</v>
      </c>
      <c r="AO196" s="126">
        <v>514</v>
      </c>
      <c r="AP196" s="159" t="s">
        <v>269</v>
      </c>
      <c r="AQ196" s="160">
        <v>531</v>
      </c>
      <c r="AR196" s="161">
        <v>36</v>
      </c>
      <c r="AS196" s="371">
        <v>19.635899999999999</v>
      </c>
    </row>
    <row r="197" spans="1:45" ht="15.75" thickBot="1" x14ac:dyDescent="0.3">
      <c r="A197" s="180" t="s">
        <v>277</v>
      </c>
      <c r="B197" s="181">
        <v>1290</v>
      </c>
      <c r="C197" s="182">
        <v>19100</v>
      </c>
      <c r="D197" s="132">
        <v>144</v>
      </c>
      <c r="E197" s="133">
        <v>3.54</v>
      </c>
      <c r="F197" s="133" t="s">
        <v>512</v>
      </c>
      <c r="G197" s="184">
        <v>26.41461126560317</v>
      </c>
      <c r="H197" s="185">
        <v>42</v>
      </c>
      <c r="I197" s="348">
        <v>44.462899999999998</v>
      </c>
      <c r="J197" s="185">
        <f t="shared" si="12"/>
        <v>492</v>
      </c>
      <c r="K197" s="161"/>
      <c r="L197" s="166"/>
      <c r="M197" s="166"/>
      <c r="N197" s="166"/>
      <c r="O197" s="166"/>
      <c r="P197" s="155"/>
      <c r="Q197" s="166"/>
      <c r="R197" s="166"/>
      <c r="S197" s="166"/>
      <c r="T197" s="166"/>
      <c r="U197" s="166"/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54">
        <v>549</v>
      </c>
      <c r="AF197" s="167" t="s">
        <v>286</v>
      </c>
      <c r="AG197" s="125">
        <v>556</v>
      </c>
      <c r="AH197" s="125">
        <v>42</v>
      </c>
      <c r="AI197" s="371">
        <v>19.072499999999998</v>
      </c>
      <c r="AJ197" s="126">
        <v>531</v>
      </c>
      <c r="AK197" s="159" t="s">
        <v>303</v>
      </c>
      <c r="AL197" s="160">
        <v>539</v>
      </c>
      <c r="AM197" s="161">
        <v>42</v>
      </c>
      <c r="AN197" s="371">
        <v>18.543050000000001</v>
      </c>
      <c r="AO197" s="126">
        <v>531</v>
      </c>
      <c r="AP197" s="159" t="s">
        <v>303</v>
      </c>
      <c r="AQ197" s="160">
        <v>539</v>
      </c>
      <c r="AR197" s="161">
        <v>42</v>
      </c>
      <c r="AS197" s="371">
        <v>18.543050000000001</v>
      </c>
    </row>
    <row r="198" spans="1:45" x14ac:dyDescent="0.25">
      <c r="A198" s="169" t="s">
        <v>278</v>
      </c>
      <c r="B198" s="170">
        <v>213</v>
      </c>
      <c r="C198" s="171">
        <v>2850</v>
      </c>
      <c r="D198" s="107">
        <v>24.8</v>
      </c>
      <c r="E198" s="108">
        <v>0.64</v>
      </c>
      <c r="F198" s="108" t="s">
        <v>512</v>
      </c>
      <c r="G198" s="172">
        <v>21.5283723646006</v>
      </c>
      <c r="H198" s="173">
        <v>36</v>
      </c>
      <c r="I198" s="346">
        <v>11.697800000000001</v>
      </c>
      <c r="J198" s="173">
        <f t="shared" si="12"/>
        <v>84</v>
      </c>
      <c r="K198" s="161"/>
      <c r="L198" s="166"/>
      <c r="M198" s="166"/>
      <c r="N198" s="166"/>
      <c r="O198" s="166"/>
      <c r="P198" s="155"/>
      <c r="Q198" s="166"/>
      <c r="R198" s="166"/>
      <c r="S198" s="166"/>
      <c r="T198" s="166"/>
      <c r="U198" s="166"/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54">
        <v>556</v>
      </c>
      <c r="AF198" s="59" t="s">
        <v>197</v>
      </c>
      <c r="AG198" s="27">
        <v>559</v>
      </c>
      <c r="AH198" s="125">
        <v>30</v>
      </c>
      <c r="AI198" s="371">
        <v>19.403999999999996</v>
      </c>
      <c r="AJ198" s="126">
        <v>539</v>
      </c>
      <c r="AK198" s="167" t="s">
        <v>326</v>
      </c>
      <c r="AL198" s="160">
        <v>542</v>
      </c>
      <c r="AM198" s="125">
        <v>48</v>
      </c>
      <c r="AN198" s="371">
        <v>22.080500000000001</v>
      </c>
      <c r="AO198" s="126">
        <v>539</v>
      </c>
      <c r="AP198" s="167" t="s">
        <v>326</v>
      </c>
      <c r="AQ198" s="160">
        <v>542</v>
      </c>
      <c r="AR198" s="125">
        <v>48</v>
      </c>
      <c r="AS198" s="371">
        <v>22.080500000000001</v>
      </c>
    </row>
    <row r="199" spans="1:45" x14ac:dyDescent="0.25">
      <c r="A199" s="174" t="s">
        <v>279</v>
      </c>
      <c r="B199" s="175">
        <v>243</v>
      </c>
      <c r="C199" s="176">
        <v>3270</v>
      </c>
      <c r="D199" s="119">
        <v>27.7</v>
      </c>
      <c r="E199" s="120">
        <v>0.745</v>
      </c>
      <c r="F199" s="120" t="s">
        <v>512</v>
      </c>
      <c r="G199" s="177">
        <v>21.473473365785576</v>
      </c>
      <c r="H199" s="178">
        <v>36</v>
      </c>
      <c r="I199" s="347">
        <v>12.460700000000001</v>
      </c>
      <c r="J199" s="178">
        <f t="shared" ref="J199:J262" si="13">VALUE(RIGHT(A199,3))</f>
        <v>94</v>
      </c>
      <c r="K199" s="161"/>
      <c r="L199" s="166"/>
      <c r="M199" s="166"/>
      <c r="N199" s="166"/>
      <c r="O199" s="166"/>
      <c r="P199" s="155"/>
      <c r="Q199" s="166"/>
      <c r="R199" s="166"/>
      <c r="S199" s="166"/>
      <c r="T199" s="166"/>
      <c r="U199" s="166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54">
        <v>559</v>
      </c>
      <c r="AF199" s="59" t="s">
        <v>239</v>
      </c>
      <c r="AG199" s="27">
        <v>564</v>
      </c>
      <c r="AH199" s="125">
        <v>36</v>
      </c>
      <c r="AI199" s="371">
        <v>23.59</v>
      </c>
      <c r="AJ199" s="126">
        <v>542</v>
      </c>
      <c r="AK199" s="187" t="s">
        <v>316</v>
      </c>
      <c r="AL199" s="160">
        <v>549</v>
      </c>
      <c r="AM199" s="161">
        <v>42</v>
      </c>
      <c r="AN199" s="371">
        <v>21.0246</v>
      </c>
      <c r="AO199" s="126">
        <v>542</v>
      </c>
      <c r="AP199" s="187" t="s">
        <v>316</v>
      </c>
      <c r="AQ199" s="160">
        <v>549</v>
      </c>
      <c r="AR199" s="161">
        <v>42</v>
      </c>
      <c r="AS199" s="371">
        <v>21.0246</v>
      </c>
    </row>
    <row r="200" spans="1:45" x14ac:dyDescent="0.25">
      <c r="A200" s="174" t="s">
        <v>280</v>
      </c>
      <c r="B200" s="175">
        <v>267</v>
      </c>
      <c r="C200" s="176">
        <v>3620</v>
      </c>
      <c r="D200" s="119">
        <v>30</v>
      </c>
      <c r="E200" s="120">
        <v>0.83</v>
      </c>
      <c r="F200" s="120" t="s">
        <v>512</v>
      </c>
      <c r="G200" s="177">
        <v>21.454701762294739</v>
      </c>
      <c r="H200" s="178">
        <v>36</v>
      </c>
      <c r="I200" s="347">
        <v>13.096450000000001</v>
      </c>
      <c r="J200" s="178">
        <f t="shared" si="13"/>
        <v>102</v>
      </c>
      <c r="K200" s="161"/>
      <c r="L200" s="166"/>
      <c r="M200" s="166"/>
      <c r="N200" s="166"/>
      <c r="O200" s="166"/>
      <c r="P200" s="155"/>
      <c r="Q200" s="166"/>
      <c r="R200" s="166"/>
      <c r="S200" s="166"/>
      <c r="T200" s="166"/>
      <c r="U200" s="166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54">
        <v>564</v>
      </c>
      <c r="AF200" s="159" t="s">
        <v>270</v>
      </c>
      <c r="AG200" s="160">
        <v>588</v>
      </c>
      <c r="AH200" s="161">
        <v>36</v>
      </c>
      <c r="AI200" s="371">
        <v>21.657599999999999</v>
      </c>
      <c r="AJ200" s="126">
        <v>549</v>
      </c>
      <c r="AK200" s="159" t="s">
        <v>286</v>
      </c>
      <c r="AL200" s="160">
        <v>556</v>
      </c>
      <c r="AM200" s="161">
        <v>42</v>
      </c>
      <c r="AN200" s="371">
        <v>19.072499999999998</v>
      </c>
      <c r="AO200" s="126">
        <v>549</v>
      </c>
      <c r="AP200" s="159" t="s">
        <v>286</v>
      </c>
      <c r="AQ200" s="160">
        <v>556</v>
      </c>
      <c r="AR200" s="161">
        <v>42</v>
      </c>
      <c r="AS200" s="371">
        <v>19.072499999999998</v>
      </c>
    </row>
    <row r="201" spans="1:45" x14ac:dyDescent="0.25">
      <c r="A201" s="174" t="s">
        <v>281</v>
      </c>
      <c r="B201" s="175">
        <v>299</v>
      </c>
      <c r="C201" s="176">
        <v>4090</v>
      </c>
      <c r="D201" s="119">
        <v>33.5</v>
      </c>
      <c r="E201" s="120">
        <v>0.93</v>
      </c>
      <c r="F201" s="120" t="s">
        <v>512</v>
      </c>
      <c r="G201" s="177">
        <v>21.591884994239312</v>
      </c>
      <c r="H201" s="178">
        <v>36</v>
      </c>
      <c r="I201" s="347">
        <v>14.495099999999999</v>
      </c>
      <c r="J201" s="178">
        <f t="shared" si="13"/>
        <v>114</v>
      </c>
      <c r="K201" s="161"/>
      <c r="L201" s="166"/>
      <c r="M201" s="166"/>
      <c r="N201" s="166"/>
      <c r="O201" s="166"/>
      <c r="P201" s="155"/>
      <c r="Q201" s="166"/>
      <c r="R201" s="166"/>
      <c r="S201" s="166"/>
      <c r="T201" s="166"/>
      <c r="U201" s="166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54">
        <v>588</v>
      </c>
      <c r="AF201" s="167" t="s">
        <v>304</v>
      </c>
      <c r="AG201" s="125">
        <v>598</v>
      </c>
      <c r="AH201" s="125">
        <v>42</v>
      </c>
      <c r="AI201" s="371">
        <v>20.100099999999998</v>
      </c>
      <c r="AJ201" s="126">
        <v>556</v>
      </c>
      <c r="AK201" s="59" t="s">
        <v>197</v>
      </c>
      <c r="AL201" s="27">
        <v>559</v>
      </c>
      <c r="AM201" s="125">
        <v>30</v>
      </c>
      <c r="AN201" s="371">
        <v>19.403999999999996</v>
      </c>
      <c r="AO201" s="126">
        <v>556</v>
      </c>
      <c r="AP201" s="59" t="s">
        <v>197</v>
      </c>
      <c r="AQ201" s="27">
        <v>559</v>
      </c>
      <c r="AR201" s="125">
        <v>30</v>
      </c>
      <c r="AS201" s="371">
        <v>19.403999999999996</v>
      </c>
    </row>
    <row r="202" spans="1:45" x14ac:dyDescent="0.25">
      <c r="A202" s="174" t="s">
        <v>282</v>
      </c>
      <c r="B202" s="175">
        <v>345</v>
      </c>
      <c r="C202" s="176">
        <v>4760</v>
      </c>
      <c r="D202" s="119">
        <v>37.799999999999997</v>
      </c>
      <c r="E202" s="120">
        <v>1.1000000000000001</v>
      </c>
      <c r="F202" s="120" t="s">
        <v>512</v>
      </c>
      <c r="G202" s="177">
        <v>21.583382670969289</v>
      </c>
      <c r="H202" s="178">
        <v>36</v>
      </c>
      <c r="I202" s="347">
        <v>15.5123</v>
      </c>
      <c r="J202" s="178">
        <f t="shared" si="13"/>
        <v>129</v>
      </c>
      <c r="K202" s="161"/>
      <c r="L202" s="166"/>
      <c r="M202" s="166"/>
      <c r="N202" s="166"/>
      <c r="O202" s="166"/>
      <c r="P202" s="155"/>
      <c r="Q202" s="166"/>
      <c r="R202" s="166"/>
      <c r="S202" s="166"/>
      <c r="T202" s="166"/>
      <c r="U202" s="166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54">
        <v>598</v>
      </c>
      <c r="AF202" s="59" t="s">
        <v>198</v>
      </c>
      <c r="AG202" s="27">
        <v>607</v>
      </c>
      <c r="AH202" s="125">
        <v>36</v>
      </c>
      <c r="AI202" s="371">
        <v>20.853000000000002</v>
      </c>
      <c r="AJ202" s="126">
        <v>559</v>
      </c>
      <c r="AK202" s="59" t="s">
        <v>239</v>
      </c>
      <c r="AL202" s="27">
        <v>564</v>
      </c>
      <c r="AM202" s="125">
        <v>36</v>
      </c>
      <c r="AN202" s="371">
        <v>23.59</v>
      </c>
      <c r="AO202" s="126">
        <v>559</v>
      </c>
      <c r="AP202" s="59" t="s">
        <v>239</v>
      </c>
      <c r="AQ202" s="27">
        <v>564</v>
      </c>
      <c r="AR202" s="125">
        <v>36</v>
      </c>
      <c r="AS202" s="371">
        <v>23.59</v>
      </c>
    </row>
    <row r="203" spans="1:45" x14ac:dyDescent="0.25">
      <c r="A203" s="174" t="s">
        <v>283</v>
      </c>
      <c r="B203" s="175">
        <v>411</v>
      </c>
      <c r="C203" s="176">
        <v>5630</v>
      </c>
      <c r="D203" s="179">
        <v>42.9</v>
      </c>
      <c r="E203" s="120">
        <v>0.97499999999999998</v>
      </c>
      <c r="F203" s="120" t="s">
        <v>512</v>
      </c>
      <c r="G203" s="177">
        <v>24.595387023329444</v>
      </c>
      <c r="H203" s="178">
        <v>42</v>
      </c>
      <c r="I203" s="347">
        <v>15.385149999999999</v>
      </c>
      <c r="J203" s="178">
        <f t="shared" si="13"/>
        <v>146</v>
      </c>
      <c r="K203" s="161"/>
      <c r="L203" s="166"/>
      <c r="M203" s="166"/>
      <c r="N203" s="166"/>
      <c r="O203" s="166"/>
      <c r="P203" s="155"/>
      <c r="Q203" s="166"/>
      <c r="R203" s="166"/>
      <c r="S203" s="166"/>
      <c r="T203" s="166"/>
      <c r="U203" s="166"/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54">
        <v>607</v>
      </c>
      <c r="AF203" s="59" t="s">
        <v>240</v>
      </c>
      <c r="AG203" s="27">
        <v>624</v>
      </c>
      <c r="AH203" s="125">
        <v>36</v>
      </c>
      <c r="AI203" s="371">
        <v>25.596800000000002</v>
      </c>
      <c r="AJ203" s="126">
        <v>564</v>
      </c>
      <c r="AK203" s="61" t="s">
        <v>327</v>
      </c>
      <c r="AL203" s="160">
        <v>580</v>
      </c>
      <c r="AM203" s="125">
        <v>48</v>
      </c>
      <c r="AN203" s="371">
        <v>23.099600000000002</v>
      </c>
      <c r="AO203" s="126">
        <v>564</v>
      </c>
      <c r="AP203" s="61" t="s">
        <v>327</v>
      </c>
      <c r="AQ203" s="160">
        <v>580</v>
      </c>
      <c r="AR203" s="125">
        <v>48</v>
      </c>
      <c r="AS203" s="371">
        <v>23.099600000000002</v>
      </c>
    </row>
    <row r="204" spans="1:45" x14ac:dyDescent="0.25">
      <c r="A204" s="174" t="s">
        <v>284</v>
      </c>
      <c r="B204" s="175">
        <v>455</v>
      </c>
      <c r="C204" s="176">
        <v>6280</v>
      </c>
      <c r="D204" s="179">
        <v>47.4</v>
      </c>
      <c r="E204" s="120">
        <v>1.08</v>
      </c>
      <c r="F204" s="120" t="s">
        <v>512</v>
      </c>
      <c r="G204" s="177">
        <v>24.7386267804828</v>
      </c>
      <c r="H204" s="178">
        <v>42</v>
      </c>
      <c r="I204" s="347">
        <v>16.783799999999999</v>
      </c>
      <c r="J204" s="178">
        <f t="shared" si="13"/>
        <v>161</v>
      </c>
      <c r="K204" s="125"/>
      <c r="L204" s="166"/>
      <c r="M204" s="166"/>
      <c r="N204" s="166"/>
      <c r="O204" s="166"/>
      <c r="P204" s="155"/>
      <c r="Q204" s="166"/>
      <c r="R204" s="166"/>
      <c r="S204" s="166"/>
      <c r="T204" s="166"/>
      <c r="U204" s="166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54">
        <v>624</v>
      </c>
      <c r="AF204" s="167" t="s">
        <v>287</v>
      </c>
      <c r="AG204" s="125">
        <v>624</v>
      </c>
      <c r="AH204" s="125">
        <v>42</v>
      </c>
      <c r="AI204" s="371">
        <v>21.1069</v>
      </c>
      <c r="AJ204" s="126">
        <v>580</v>
      </c>
      <c r="AK204" s="159" t="s">
        <v>270</v>
      </c>
      <c r="AL204" s="160">
        <v>588</v>
      </c>
      <c r="AM204" s="161">
        <v>36</v>
      </c>
      <c r="AN204" s="371">
        <v>21.657599999999999</v>
      </c>
      <c r="AO204" s="126">
        <v>580</v>
      </c>
      <c r="AP204" s="159" t="s">
        <v>270</v>
      </c>
      <c r="AQ204" s="160">
        <v>588</v>
      </c>
      <c r="AR204" s="161">
        <v>36</v>
      </c>
      <c r="AS204" s="371">
        <v>21.657599999999999</v>
      </c>
    </row>
    <row r="205" spans="1:45" x14ac:dyDescent="0.25">
      <c r="A205" s="174" t="s">
        <v>285</v>
      </c>
      <c r="B205" s="175">
        <v>502</v>
      </c>
      <c r="C205" s="176">
        <v>6990</v>
      </c>
      <c r="D205" s="179">
        <v>52.3</v>
      </c>
      <c r="E205" s="120">
        <v>1.19</v>
      </c>
      <c r="F205" s="120" t="s">
        <v>512</v>
      </c>
      <c r="G205" s="177">
        <v>24.910109635101374</v>
      </c>
      <c r="H205" s="178">
        <v>42</v>
      </c>
      <c r="I205" s="347">
        <v>18.43675</v>
      </c>
      <c r="J205" s="178">
        <f t="shared" si="13"/>
        <v>178</v>
      </c>
      <c r="K205" s="161"/>
      <c r="L205" s="166"/>
      <c r="M205" s="166"/>
      <c r="N205" s="166"/>
      <c r="O205" s="166"/>
      <c r="P205" s="155"/>
      <c r="Q205" s="166"/>
      <c r="R205" s="166"/>
      <c r="S205" s="166"/>
      <c r="T205" s="166"/>
      <c r="U205" s="166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54">
        <v>624</v>
      </c>
      <c r="AF205" s="159" t="s">
        <v>38</v>
      </c>
      <c r="AG205" s="160">
        <v>644</v>
      </c>
      <c r="AH205" s="161">
        <v>36</v>
      </c>
      <c r="AI205" s="371">
        <v>23.462399999999999</v>
      </c>
      <c r="AJ205" s="126">
        <v>588</v>
      </c>
      <c r="AK205" s="159" t="s">
        <v>304</v>
      </c>
      <c r="AL205" s="160">
        <v>598</v>
      </c>
      <c r="AM205" s="161">
        <v>42</v>
      </c>
      <c r="AN205" s="371">
        <v>20.100099999999998</v>
      </c>
      <c r="AO205" s="126">
        <v>588</v>
      </c>
      <c r="AP205" s="159" t="s">
        <v>304</v>
      </c>
      <c r="AQ205" s="160">
        <v>598</v>
      </c>
      <c r="AR205" s="161">
        <v>42</v>
      </c>
      <c r="AS205" s="371">
        <v>20.100099999999998</v>
      </c>
    </row>
    <row r="206" spans="1:45" x14ac:dyDescent="0.25">
      <c r="A206" s="174" t="s">
        <v>286</v>
      </c>
      <c r="B206" s="175">
        <v>556</v>
      </c>
      <c r="C206" s="176">
        <v>7820</v>
      </c>
      <c r="D206" s="179">
        <v>57</v>
      </c>
      <c r="E206" s="120">
        <v>1.34</v>
      </c>
      <c r="F206" s="120" t="s">
        <v>512</v>
      </c>
      <c r="G206" s="177">
        <v>24.930496158346454</v>
      </c>
      <c r="H206" s="178">
        <v>42</v>
      </c>
      <c r="I206" s="347">
        <v>19.072499999999998</v>
      </c>
      <c r="J206" s="178">
        <f t="shared" si="13"/>
        <v>194</v>
      </c>
      <c r="K206" s="161"/>
      <c r="L206" s="166"/>
      <c r="M206" s="166"/>
      <c r="N206" s="166"/>
      <c r="O206" s="166"/>
      <c r="P206" s="155"/>
      <c r="Q206" s="166"/>
      <c r="R206" s="166"/>
      <c r="S206" s="166"/>
      <c r="T206" s="166"/>
      <c r="U206" s="166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54">
        <v>644</v>
      </c>
      <c r="AF206" s="59" t="s">
        <v>199</v>
      </c>
      <c r="AG206" s="27">
        <v>656</v>
      </c>
      <c r="AH206" s="125">
        <v>36</v>
      </c>
      <c r="AI206" s="371">
        <v>22.301999999999996</v>
      </c>
      <c r="AJ206" s="126">
        <v>598</v>
      </c>
      <c r="AK206" s="59" t="s">
        <v>198</v>
      </c>
      <c r="AL206" s="27">
        <v>607</v>
      </c>
      <c r="AM206" s="125">
        <v>36</v>
      </c>
      <c r="AN206" s="371">
        <v>20.853000000000002</v>
      </c>
      <c r="AO206" s="126">
        <v>598</v>
      </c>
      <c r="AP206" s="59" t="s">
        <v>198</v>
      </c>
      <c r="AQ206" s="27">
        <v>607</v>
      </c>
      <c r="AR206" s="125">
        <v>36</v>
      </c>
      <c r="AS206" s="371">
        <v>20.853000000000002</v>
      </c>
    </row>
    <row r="207" spans="1:45" x14ac:dyDescent="0.25">
      <c r="A207" s="174" t="s">
        <v>287</v>
      </c>
      <c r="B207" s="175">
        <v>624</v>
      </c>
      <c r="C207" s="176">
        <v>8870</v>
      </c>
      <c r="D207" s="179">
        <v>63.8</v>
      </c>
      <c r="E207" s="120">
        <v>1.5</v>
      </c>
      <c r="F207" s="120" t="s">
        <v>512</v>
      </c>
      <c r="G207" s="177">
        <v>25.184627060737053</v>
      </c>
      <c r="H207" s="178">
        <v>42</v>
      </c>
      <c r="I207" s="347">
        <v>21.1069</v>
      </c>
      <c r="J207" s="178">
        <f t="shared" si="13"/>
        <v>217</v>
      </c>
      <c r="K207" s="161"/>
      <c r="L207" s="166"/>
      <c r="M207" s="166"/>
      <c r="N207" s="166"/>
      <c r="O207" s="166"/>
      <c r="P207" s="155"/>
      <c r="Q207" s="166"/>
      <c r="R207" s="166"/>
      <c r="S207" s="166"/>
      <c r="T207" s="166"/>
      <c r="U207" s="166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54">
        <v>656</v>
      </c>
      <c r="AF207" s="167" t="s">
        <v>305</v>
      </c>
      <c r="AG207" s="125">
        <v>663</v>
      </c>
      <c r="AH207" s="125">
        <v>42</v>
      </c>
      <c r="AI207" s="371">
        <v>21.940250000000002</v>
      </c>
      <c r="AJ207" s="126">
        <v>607</v>
      </c>
      <c r="AK207" s="167" t="s">
        <v>328</v>
      </c>
      <c r="AL207" s="160">
        <v>623</v>
      </c>
      <c r="AM207" s="125">
        <v>48</v>
      </c>
      <c r="AN207" s="371">
        <v>24.628249999999998</v>
      </c>
      <c r="AO207" s="126">
        <v>607</v>
      </c>
      <c r="AP207" s="167" t="s">
        <v>328</v>
      </c>
      <c r="AQ207" s="160">
        <v>623</v>
      </c>
      <c r="AR207" s="125">
        <v>48</v>
      </c>
      <c r="AS207" s="371">
        <v>24.628249999999998</v>
      </c>
    </row>
    <row r="208" spans="1:45" x14ac:dyDescent="0.25">
      <c r="A208" s="174" t="s">
        <v>288</v>
      </c>
      <c r="B208" s="175">
        <v>674</v>
      </c>
      <c r="C208" s="176">
        <v>9660</v>
      </c>
      <c r="D208" s="179">
        <v>69.099999999999994</v>
      </c>
      <c r="E208" s="120">
        <v>1.61</v>
      </c>
      <c r="F208" s="120" t="s">
        <v>512</v>
      </c>
      <c r="G208" s="177">
        <v>25.41091186127105</v>
      </c>
      <c r="H208" s="178">
        <v>42</v>
      </c>
      <c r="I208" s="347">
        <v>23.150400000000001</v>
      </c>
      <c r="J208" s="178">
        <f t="shared" si="13"/>
        <v>235</v>
      </c>
      <c r="K208" s="161"/>
      <c r="L208" s="166"/>
      <c r="M208" s="166"/>
      <c r="N208" s="166"/>
      <c r="O208" s="166"/>
      <c r="P208" s="155"/>
      <c r="Q208" s="166"/>
      <c r="R208" s="166"/>
      <c r="S208" s="166"/>
      <c r="T208" s="166"/>
      <c r="U208" s="166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54">
        <v>663</v>
      </c>
      <c r="AF208" s="167" t="s">
        <v>288</v>
      </c>
      <c r="AG208" s="125">
        <v>674</v>
      </c>
      <c r="AH208" s="125">
        <v>42</v>
      </c>
      <c r="AI208" s="371">
        <v>23.150400000000001</v>
      </c>
      <c r="AJ208" s="126">
        <v>623</v>
      </c>
      <c r="AK208" s="59" t="s">
        <v>240</v>
      </c>
      <c r="AL208" s="27">
        <v>624</v>
      </c>
      <c r="AM208" s="125">
        <v>36</v>
      </c>
      <c r="AN208" s="371">
        <v>25.596800000000002</v>
      </c>
      <c r="AO208" s="126">
        <v>623</v>
      </c>
      <c r="AP208" s="59" t="s">
        <v>240</v>
      </c>
      <c r="AQ208" s="27">
        <v>624</v>
      </c>
      <c r="AR208" s="125">
        <v>36</v>
      </c>
      <c r="AS208" s="371">
        <v>25.596800000000002</v>
      </c>
    </row>
    <row r="209" spans="1:45" x14ac:dyDescent="0.25">
      <c r="A209" s="174" t="s">
        <v>289</v>
      </c>
      <c r="B209" s="175">
        <v>742</v>
      </c>
      <c r="C209" s="176">
        <v>10800</v>
      </c>
      <c r="D209" s="179">
        <v>75.7</v>
      </c>
      <c r="E209" s="120">
        <v>1.77</v>
      </c>
      <c r="F209" s="120" t="s">
        <v>512</v>
      </c>
      <c r="G209" s="177">
        <v>25.648525229794178</v>
      </c>
      <c r="H209" s="178">
        <v>42</v>
      </c>
      <c r="I209" s="347">
        <v>24.9312</v>
      </c>
      <c r="J209" s="178">
        <f t="shared" si="13"/>
        <v>258</v>
      </c>
      <c r="K209" s="161"/>
      <c r="L209" s="166"/>
      <c r="M209" s="166"/>
      <c r="N209" s="166"/>
      <c r="O209" s="166"/>
      <c r="P209" s="155"/>
      <c r="Q209" s="166"/>
      <c r="R209" s="166"/>
      <c r="S209" s="166"/>
      <c r="T209" s="166"/>
      <c r="U209" s="166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54">
        <v>674</v>
      </c>
      <c r="AF209" s="59" t="s">
        <v>200</v>
      </c>
      <c r="AG209" s="27">
        <v>707</v>
      </c>
      <c r="AH209" s="125">
        <v>36</v>
      </c>
      <c r="AI209" s="371">
        <v>23.625000000000004</v>
      </c>
      <c r="AJ209" s="126">
        <v>624</v>
      </c>
      <c r="AK209" s="159" t="s">
        <v>287</v>
      </c>
      <c r="AL209" s="160">
        <v>624</v>
      </c>
      <c r="AM209" s="161">
        <v>42</v>
      </c>
      <c r="AN209" s="371">
        <v>21.1069</v>
      </c>
      <c r="AO209" s="126">
        <v>624</v>
      </c>
      <c r="AP209" s="159" t="s">
        <v>287</v>
      </c>
      <c r="AQ209" s="160">
        <v>624</v>
      </c>
      <c r="AR209" s="161">
        <v>42</v>
      </c>
      <c r="AS209" s="371">
        <v>21.1069</v>
      </c>
    </row>
    <row r="210" spans="1:45" x14ac:dyDescent="0.25">
      <c r="A210" s="174" t="s">
        <v>290</v>
      </c>
      <c r="B210" s="175">
        <v>811</v>
      </c>
      <c r="C210" s="176">
        <v>11900</v>
      </c>
      <c r="D210" s="179">
        <v>82.6</v>
      </c>
      <c r="E210" s="120">
        <v>1.93</v>
      </c>
      <c r="F210" s="120" t="s">
        <v>512</v>
      </c>
      <c r="G210" s="177">
        <v>25.896303211931173</v>
      </c>
      <c r="H210" s="178">
        <v>42</v>
      </c>
      <c r="I210" s="347">
        <v>26.9558</v>
      </c>
      <c r="J210" s="178">
        <f t="shared" si="13"/>
        <v>281</v>
      </c>
      <c r="K210" s="161"/>
      <c r="L210" s="166"/>
      <c r="M210" s="166"/>
      <c r="N210" s="166"/>
      <c r="O210" s="166"/>
      <c r="P210" s="155"/>
      <c r="Q210" s="166"/>
      <c r="R210" s="166"/>
      <c r="S210" s="166"/>
      <c r="T210" s="166"/>
      <c r="U210" s="166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54">
        <v>707</v>
      </c>
      <c r="AF210" s="159" t="s">
        <v>271</v>
      </c>
      <c r="AG210" s="160">
        <v>718</v>
      </c>
      <c r="AH210" s="161">
        <v>36</v>
      </c>
      <c r="AI210" s="371">
        <v>26.157999999999998</v>
      </c>
      <c r="AJ210" s="126">
        <v>624</v>
      </c>
      <c r="AK210" s="159" t="s">
        <v>38</v>
      </c>
      <c r="AL210" s="160">
        <v>644</v>
      </c>
      <c r="AM210" s="161">
        <v>36</v>
      </c>
      <c r="AN210" s="371">
        <v>23.462399999999999</v>
      </c>
      <c r="AO210" s="126">
        <v>624</v>
      </c>
      <c r="AP210" s="159" t="s">
        <v>38</v>
      </c>
      <c r="AQ210" s="160">
        <v>644</v>
      </c>
      <c r="AR210" s="161">
        <v>36</v>
      </c>
      <c r="AS210" s="371">
        <v>23.462399999999999</v>
      </c>
    </row>
    <row r="211" spans="1:45" x14ac:dyDescent="0.25">
      <c r="A211" s="174" t="s">
        <v>291</v>
      </c>
      <c r="B211" s="175">
        <v>884</v>
      </c>
      <c r="C211" s="176">
        <v>13100</v>
      </c>
      <c r="D211" s="179">
        <v>90.2</v>
      </c>
      <c r="E211" s="120">
        <v>2.09</v>
      </c>
      <c r="F211" s="120" t="s">
        <v>512</v>
      </c>
      <c r="G211" s="177">
        <v>26.191222930668882</v>
      </c>
      <c r="H211" s="178">
        <v>42</v>
      </c>
      <c r="I211" s="347">
        <v>29.498799999999999</v>
      </c>
      <c r="J211" s="178">
        <f t="shared" si="13"/>
        <v>307</v>
      </c>
      <c r="K211" s="161"/>
      <c r="L211" s="166"/>
      <c r="M211" s="166"/>
      <c r="N211" s="166"/>
      <c r="O211" s="166"/>
      <c r="P211" s="155"/>
      <c r="Q211" s="166"/>
      <c r="R211" s="166"/>
      <c r="S211" s="166"/>
      <c r="T211" s="166"/>
      <c r="U211" s="166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54">
        <v>718</v>
      </c>
      <c r="AF211" s="167" t="s">
        <v>289</v>
      </c>
      <c r="AG211" s="125">
        <v>742</v>
      </c>
      <c r="AH211" s="125">
        <v>42</v>
      </c>
      <c r="AI211" s="371">
        <v>24.9312</v>
      </c>
      <c r="AJ211" s="126">
        <v>644</v>
      </c>
      <c r="AK211" s="59" t="s">
        <v>199</v>
      </c>
      <c r="AL211" s="27">
        <v>656</v>
      </c>
      <c r="AM211" s="125">
        <v>36</v>
      </c>
      <c r="AN211" s="371">
        <v>22.301999999999996</v>
      </c>
      <c r="AO211" s="126">
        <v>644</v>
      </c>
      <c r="AP211" s="59" t="s">
        <v>199</v>
      </c>
      <c r="AQ211" s="27">
        <v>656</v>
      </c>
      <c r="AR211" s="125">
        <v>36</v>
      </c>
      <c r="AS211" s="371">
        <v>22.301999999999996</v>
      </c>
    </row>
    <row r="212" spans="1:45" x14ac:dyDescent="0.25">
      <c r="A212" s="174" t="s">
        <v>292</v>
      </c>
      <c r="B212" s="175">
        <v>970</v>
      </c>
      <c r="C212" s="176">
        <v>14500</v>
      </c>
      <c r="D212" s="179">
        <v>98.7</v>
      </c>
      <c r="E212" s="120">
        <v>2.2799999999999998</v>
      </c>
      <c r="F212" s="120" t="s">
        <v>512</v>
      </c>
      <c r="G212" s="177">
        <v>26.517201840317632</v>
      </c>
      <c r="H212" s="178">
        <v>42</v>
      </c>
      <c r="I212" s="347">
        <v>32.054400000000001</v>
      </c>
      <c r="J212" s="178">
        <f t="shared" si="13"/>
        <v>336</v>
      </c>
      <c r="K212" s="161"/>
      <c r="L212" s="166"/>
      <c r="M212" s="166"/>
      <c r="N212" s="166"/>
      <c r="O212" s="166"/>
      <c r="P212" s="155"/>
      <c r="Q212" s="166"/>
      <c r="R212" s="166"/>
      <c r="S212" s="166"/>
      <c r="T212" s="166"/>
      <c r="U212" s="166"/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54">
        <v>742</v>
      </c>
      <c r="AF212" s="167" t="s">
        <v>306</v>
      </c>
      <c r="AG212" s="125">
        <v>746</v>
      </c>
      <c r="AH212" s="125">
        <v>42</v>
      </c>
      <c r="AI212" s="371">
        <v>23.489000000000001</v>
      </c>
      <c r="AJ212" s="126">
        <v>656</v>
      </c>
      <c r="AK212" s="123" t="s">
        <v>305</v>
      </c>
      <c r="AL212" s="27">
        <v>663</v>
      </c>
      <c r="AM212" s="125">
        <v>42</v>
      </c>
      <c r="AN212" s="371">
        <v>21.940250000000002</v>
      </c>
      <c r="AO212" s="126">
        <v>656</v>
      </c>
      <c r="AP212" s="123" t="s">
        <v>305</v>
      </c>
      <c r="AQ212" s="27">
        <v>663</v>
      </c>
      <c r="AR212" s="125">
        <v>42</v>
      </c>
      <c r="AS212" s="371">
        <v>21.940250000000002</v>
      </c>
    </row>
    <row r="213" spans="1:45" x14ac:dyDescent="0.25">
      <c r="A213" s="174" t="s">
        <v>293</v>
      </c>
      <c r="B213" s="175">
        <v>1060</v>
      </c>
      <c r="C213" s="176">
        <v>16100</v>
      </c>
      <c r="D213" s="179">
        <v>108</v>
      </c>
      <c r="E213" s="120">
        <v>2.48</v>
      </c>
      <c r="F213" s="120" t="s">
        <v>512</v>
      </c>
      <c r="G213" s="177">
        <v>26.840971046336787</v>
      </c>
      <c r="H213" s="178">
        <v>42</v>
      </c>
      <c r="I213" s="347">
        <v>35.093399999999995</v>
      </c>
      <c r="J213" s="178">
        <f t="shared" si="13"/>
        <v>368</v>
      </c>
      <c r="K213" s="161"/>
      <c r="L213" s="166"/>
      <c r="M213" s="166"/>
      <c r="N213" s="166"/>
      <c r="O213" s="166"/>
      <c r="P213" s="155"/>
      <c r="Q213" s="166"/>
      <c r="R213" s="166"/>
      <c r="S213" s="166"/>
      <c r="T213" s="166"/>
      <c r="U213" s="166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54">
        <v>746</v>
      </c>
      <c r="AF213" s="59" t="s">
        <v>201</v>
      </c>
      <c r="AG213" s="27">
        <v>756</v>
      </c>
      <c r="AH213" s="125">
        <v>36</v>
      </c>
      <c r="AI213" s="371">
        <v>25.388999999999999</v>
      </c>
      <c r="AJ213" s="126">
        <v>663</v>
      </c>
      <c r="AK213" s="167" t="s">
        <v>329</v>
      </c>
      <c r="AL213" s="160">
        <v>664</v>
      </c>
      <c r="AM213" s="125">
        <v>48</v>
      </c>
      <c r="AN213" s="371">
        <v>25.98705</v>
      </c>
      <c r="AO213" s="126">
        <v>663</v>
      </c>
      <c r="AP213" s="167" t="s">
        <v>329</v>
      </c>
      <c r="AQ213" s="160">
        <v>664</v>
      </c>
      <c r="AR213" s="125">
        <v>48</v>
      </c>
      <c r="AS213" s="371">
        <v>25.98705</v>
      </c>
    </row>
    <row r="214" spans="1:45" x14ac:dyDescent="0.25">
      <c r="A214" s="174" t="s">
        <v>294</v>
      </c>
      <c r="B214" s="175">
        <v>1170</v>
      </c>
      <c r="C214" s="176">
        <v>18100</v>
      </c>
      <c r="D214" s="179">
        <v>119</v>
      </c>
      <c r="E214" s="120">
        <v>2.72</v>
      </c>
      <c r="F214" s="120" t="s">
        <v>512</v>
      </c>
      <c r="G214" s="177">
        <v>27.236197297700905</v>
      </c>
      <c r="H214" s="178">
        <v>42</v>
      </c>
      <c r="I214" s="347">
        <v>38.653599999999997</v>
      </c>
      <c r="J214" s="178">
        <f t="shared" si="13"/>
        <v>407</v>
      </c>
      <c r="K214" s="161"/>
      <c r="L214" s="166"/>
      <c r="M214" s="166"/>
      <c r="N214" s="166"/>
      <c r="O214" s="166"/>
      <c r="P214" s="155"/>
      <c r="Q214" s="166"/>
      <c r="R214" s="166"/>
      <c r="S214" s="166"/>
      <c r="T214" s="166"/>
      <c r="U214" s="166"/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54">
        <v>756</v>
      </c>
      <c r="AF214" s="167" t="s">
        <v>272</v>
      </c>
      <c r="AG214" s="125">
        <v>789</v>
      </c>
      <c r="AH214" s="125">
        <v>42</v>
      </c>
      <c r="AI214" s="371">
        <v>28.438200000000002</v>
      </c>
      <c r="AJ214" s="126">
        <v>664</v>
      </c>
      <c r="AK214" s="159" t="s">
        <v>288</v>
      </c>
      <c r="AL214" s="160">
        <v>674</v>
      </c>
      <c r="AM214" s="161">
        <v>42</v>
      </c>
      <c r="AN214" s="371">
        <v>23.150400000000001</v>
      </c>
      <c r="AO214" s="126">
        <v>664</v>
      </c>
      <c r="AP214" s="159" t="s">
        <v>288</v>
      </c>
      <c r="AQ214" s="160">
        <v>674</v>
      </c>
      <c r="AR214" s="161">
        <v>42</v>
      </c>
      <c r="AS214" s="371">
        <v>23.150400000000001</v>
      </c>
    </row>
    <row r="215" spans="1:45" ht="15.75" thickBot="1" x14ac:dyDescent="0.3">
      <c r="A215" s="180" t="s">
        <v>295</v>
      </c>
      <c r="B215" s="181">
        <v>1300</v>
      </c>
      <c r="C215" s="182">
        <v>20400</v>
      </c>
      <c r="D215" s="183">
        <v>131</v>
      </c>
      <c r="E215" s="133">
        <v>2.99</v>
      </c>
      <c r="F215" s="133" t="s">
        <v>512</v>
      </c>
      <c r="G215" s="184">
        <v>27.719985865891761</v>
      </c>
      <c r="H215" s="185">
        <v>42</v>
      </c>
      <c r="I215" s="348">
        <v>41.975999999999999</v>
      </c>
      <c r="J215" s="185">
        <f t="shared" si="13"/>
        <v>448</v>
      </c>
      <c r="K215" s="161"/>
      <c r="L215" s="166"/>
      <c r="M215" s="166"/>
      <c r="N215" s="166"/>
      <c r="O215" s="166"/>
      <c r="P215" s="155"/>
      <c r="Q215" s="166"/>
      <c r="R215" s="166"/>
      <c r="S215" s="166"/>
      <c r="T215" s="166"/>
      <c r="U215" s="166"/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54">
        <v>789</v>
      </c>
      <c r="AF215" s="167" t="s">
        <v>290</v>
      </c>
      <c r="AG215" s="125">
        <v>811</v>
      </c>
      <c r="AH215" s="125">
        <v>42</v>
      </c>
      <c r="AI215" s="371">
        <v>26.9558</v>
      </c>
      <c r="AJ215" s="126">
        <v>674</v>
      </c>
      <c r="AK215" s="123" t="s">
        <v>317</v>
      </c>
      <c r="AL215" s="27">
        <v>684</v>
      </c>
      <c r="AM215" s="125">
        <v>48</v>
      </c>
      <c r="AN215" s="371">
        <v>22.436699999999998</v>
      </c>
      <c r="AO215" s="126">
        <v>674</v>
      </c>
      <c r="AP215" s="123" t="s">
        <v>317</v>
      </c>
      <c r="AQ215" s="27">
        <v>684</v>
      </c>
      <c r="AR215" s="125">
        <v>48</v>
      </c>
      <c r="AS215" s="371">
        <v>22.436699999999998</v>
      </c>
    </row>
    <row r="216" spans="1:45" x14ac:dyDescent="0.25">
      <c r="A216" s="169" t="s">
        <v>296</v>
      </c>
      <c r="B216" s="170">
        <v>245</v>
      </c>
      <c r="C216" s="171">
        <v>3620</v>
      </c>
      <c r="D216" s="186">
        <v>26.4</v>
      </c>
      <c r="E216" s="108">
        <v>0.61</v>
      </c>
      <c r="F216" s="108" t="s">
        <v>512</v>
      </c>
      <c r="G216" s="172">
        <v>23.51482289702896</v>
      </c>
      <c r="H216" s="173">
        <v>42</v>
      </c>
      <c r="I216" s="346">
        <v>13.3057</v>
      </c>
      <c r="J216" s="173">
        <f t="shared" si="13"/>
        <v>90</v>
      </c>
      <c r="K216" s="161"/>
      <c r="L216" s="166"/>
      <c r="M216" s="166"/>
      <c r="N216" s="166"/>
      <c r="O216" s="166"/>
      <c r="P216" s="155"/>
      <c r="Q216" s="166"/>
      <c r="R216" s="166"/>
      <c r="S216" s="166"/>
      <c r="T216" s="166"/>
      <c r="U216" s="166"/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54">
        <v>811</v>
      </c>
      <c r="AF216" s="167" t="s">
        <v>307</v>
      </c>
      <c r="AG216" s="125">
        <v>827</v>
      </c>
      <c r="AH216" s="125">
        <v>42</v>
      </c>
      <c r="AI216" s="371">
        <v>26.328299999999999</v>
      </c>
      <c r="AJ216" s="126">
        <v>684</v>
      </c>
      <c r="AK216" s="59" t="s">
        <v>200</v>
      </c>
      <c r="AL216" s="27">
        <v>707</v>
      </c>
      <c r="AM216" s="125">
        <v>36</v>
      </c>
      <c r="AN216" s="371">
        <v>23.625000000000004</v>
      </c>
      <c r="AO216" s="126">
        <v>684</v>
      </c>
      <c r="AP216" s="59" t="s">
        <v>200</v>
      </c>
      <c r="AQ216" s="27">
        <v>707</v>
      </c>
      <c r="AR216" s="125">
        <v>36</v>
      </c>
      <c r="AS216" s="371">
        <v>23.625000000000004</v>
      </c>
    </row>
    <row r="217" spans="1:45" x14ac:dyDescent="0.25">
      <c r="A217" s="174" t="s">
        <v>297</v>
      </c>
      <c r="B217" s="175">
        <v>269</v>
      </c>
      <c r="C217" s="176">
        <v>3990</v>
      </c>
      <c r="D217" s="179">
        <v>29.1</v>
      </c>
      <c r="E217" s="120">
        <v>0.67</v>
      </c>
      <c r="F217" s="120" t="s">
        <v>512</v>
      </c>
      <c r="G217" s="177">
        <v>23.59784595913208</v>
      </c>
      <c r="H217" s="178">
        <v>42</v>
      </c>
      <c r="I217" s="347">
        <v>14.7212</v>
      </c>
      <c r="J217" s="178">
        <f t="shared" si="13"/>
        <v>99</v>
      </c>
      <c r="K217" s="161"/>
      <c r="L217" s="166"/>
      <c r="M217" s="166"/>
      <c r="N217" s="166"/>
      <c r="O217" s="166"/>
      <c r="P217" s="155"/>
      <c r="Q217" s="166"/>
      <c r="R217" s="166"/>
      <c r="S217" s="166"/>
      <c r="T217" s="166"/>
      <c r="U217" s="166"/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54">
        <v>827</v>
      </c>
      <c r="AF217" s="59" t="s">
        <v>202</v>
      </c>
      <c r="AG217" s="27">
        <v>838</v>
      </c>
      <c r="AH217" s="125">
        <v>36</v>
      </c>
      <c r="AI217" s="371">
        <v>27.594000000000001</v>
      </c>
      <c r="AJ217" s="126">
        <v>707</v>
      </c>
      <c r="AK217" s="159" t="s">
        <v>271</v>
      </c>
      <c r="AL217" s="160">
        <v>718</v>
      </c>
      <c r="AM217" s="161">
        <v>36</v>
      </c>
      <c r="AN217" s="371">
        <v>26.157999999999998</v>
      </c>
      <c r="AO217" s="126">
        <v>707</v>
      </c>
      <c r="AP217" s="159" t="s">
        <v>271</v>
      </c>
      <c r="AQ217" s="160">
        <v>718</v>
      </c>
      <c r="AR217" s="161">
        <v>36</v>
      </c>
      <c r="AS217" s="371">
        <v>26.157999999999998</v>
      </c>
    </row>
    <row r="218" spans="1:45" x14ac:dyDescent="0.25">
      <c r="A218" s="174" t="s">
        <v>298</v>
      </c>
      <c r="B218" s="175">
        <v>299</v>
      </c>
      <c r="C218" s="176">
        <v>4470</v>
      </c>
      <c r="D218" s="179">
        <v>31.7</v>
      </c>
      <c r="E218" s="120">
        <v>0.76</v>
      </c>
      <c r="F218" s="120" t="s">
        <v>512</v>
      </c>
      <c r="G218" s="177">
        <v>23.499476947975257</v>
      </c>
      <c r="H218" s="178">
        <v>42</v>
      </c>
      <c r="I218" s="347">
        <v>15.42895</v>
      </c>
      <c r="J218" s="178">
        <f t="shared" si="13"/>
        <v>108</v>
      </c>
      <c r="K218" s="161"/>
      <c r="L218" s="166"/>
      <c r="M218" s="166"/>
      <c r="N218" s="166"/>
      <c r="O218" s="166"/>
      <c r="P218" s="155"/>
      <c r="Q218" s="166"/>
      <c r="R218" s="166"/>
      <c r="S218" s="166"/>
      <c r="T218" s="166"/>
      <c r="U218" s="166"/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54">
        <v>838</v>
      </c>
      <c r="AF218" s="167" t="s">
        <v>273</v>
      </c>
      <c r="AG218" s="125">
        <v>864</v>
      </c>
      <c r="AH218" s="125">
        <v>42</v>
      </c>
      <c r="AI218" s="371">
        <v>31.132799999999996</v>
      </c>
      <c r="AJ218" s="126">
        <v>718</v>
      </c>
      <c r="AK218" s="167" t="s">
        <v>330</v>
      </c>
      <c r="AL218" s="160">
        <v>719</v>
      </c>
      <c r="AM218" s="125">
        <v>48</v>
      </c>
      <c r="AN218" s="371">
        <v>28.195099999999996</v>
      </c>
      <c r="AO218" s="126">
        <v>718</v>
      </c>
      <c r="AP218" s="167" t="s">
        <v>330</v>
      </c>
      <c r="AQ218" s="160">
        <v>719</v>
      </c>
      <c r="AR218" s="125">
        <v>48</v>
      </c>
      <c r="AS218" s="371">
        <v>28.195099999999996</v>
      </c>
    </row>
    <row r="219" spans="1:45" x14ac:dyDescent="0.25">
      <c r="A219" s="53" t="s">
        <v>299</v>
      </c>
      <c r="B219" s="175">
        <v>329</v>
      </c>
      <c r="C219" s="176">
        <v>4930</v>
      </c>
      <c r="D219" s="179">
        <v>34.200000000000003</v>
      </c>
      <c r="E219" s="120">
        <v>0.85</v>
      </c>
      <c r="F219" s="120" t="s">
        <v>512</v>
      </c>
      <c r="G219" s="177">
        <v>23.447208708814468</v>
      </c>
      <c r="H219" s="178">
        <v>42</v>
      </c>
      <c r="I219" s="347">
        <v>15.995150000000001</v>
      </c>
      <c r="J219" s="178">
        <f t="shared" si="13"/>
        <v>116</v>
      </c>
      <c r="K219" s="161"/>
      <c r="L219" s="166"/>
      <c r="M219" s="166"/>
      <c r="N219" s="166"/>
      <c r="O219" s="166"/>
      <c r="P219" s="155"/>
      <c r="Q219" s="166"/>
      <c r="R219" s="166"/>
      <c r="S219" s="166"/>
      <c r="T219" s="166"/>
      <c r="U219" s="166"/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54">
        <v>864</v>
      </c>
      <c r="AF219" s="167" t="s">
        <v>291</v>
      </c>
      <c r="AG219" s="125">
        <v>884</v>
      </c>
      <c r="AH219" s="125">
        <v>42</v>
      </c>
      <c r="AI219" s="371">
        <v>29.498799999999999</v>
      </c>
      <c r="AJ219" s="126">
        <v>719</v>
      </c>
      <c r="AK219" s="159" t="s">
        <v>289</v>
      </c>
      <c r="AL219" s="160">
        <v>742</v>
      </c>
      <c r="AM219" s="161">
        <v>42</v>
      </c>
      <c r="AN219" s="371">
        <v>24.9312</v>
      </c>
      <c r="AO219" s="126">
        <v>719</v>
      </c>
      <c r="AP219" s="159" t="s">
        <v>289</v>
      </c>
      <c r="AQ219" s="160">
        <v>742</v>
      </c>
      <c r="AR219" s="161">
        <v>42</v>
      </c>
      <c r="AS219" s="371">
        <v>24.9312</v>
      </c>
    </row>
    <row r="220" spans="1:45" x14ac:dyDescent="0.25">
      <c r="A220" s="174" t="s">
        <v>300</v>
      </c>
      <c r="B220" s="175">
        <v>355</v>
      </c>
      <c r="C220" s="176">
        <v>5360</v>
      </c>
      <c r="D220" s="179">
        <v>36.5</v>
      </c>
      <c r="E220" s="120">
        <v>0.93</v>
      </c>
      <c r="F220" s="120" t="s">
        <v>512</v>
      </c>
      <c r="G220" s="177">
        <v>23.408104864934096</v>
      </c>
      <c r="H220" s="178">
        <v>42</v>
      </c>
      <c r="I220" s="347">
        <v>16.561350000000001</v>
      </c>
      <c r="J220" s="178">
        <f t="shared" si="13"/>
        <v>124</v>
      </c>
      <c r="K220" s="161"/>
      <c r="L220" s="166"/>
      <c r="M220" s="166"/>
      <c r="N220" s="166"/>
      <c r="O220" s="166"/>
      <c r="P220" s="155"/>
      <c r="Q220" s="166"/>
      <c r="R220" s="166"/>
      <c r="S220" s="166"/>
      <c r="T220" s="166"/>
      <c r="U220" s="166"/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54">
        <v>884</v>
      </c>
      <c r="AF220" s="167" t="s">
        <v>308</v>
      </c>
      <c r="AG220" s="125">
        <v>928</v>
      </c>
      <c r="AH220" s="125">
        <v>42</v>
      </c>
      <c r="AI220" s="371">
        <v>28.876200000000001</v>
      </c>
      <c r="AJ220" s="126">
        <v>742</v>
      </c>
      <c r="AK220" s="60" t="s">
        <v>306</v>
      </c>
      <c r="AL220" s="160">
        <v>746</v>
      </c>
      <c r="AM220" s="161">
        <v>42</v>
      </c>
      <c r="AN220" s="371">
        <v>23.489000000000001</v>
      </c>
      <c r="AO220" s="126">
        <v>742</v>
      </c>
      <c r="AP220" s="60" t="s">
        <v>306</v>
      </c>
      <c r="AQ220" s="160">
        <v>746</v>
      </c>
      <c r="AR220" s="161">
        <v>42</v>
      </c>
      <c r="AS220" s="371">
        <v>23.489000000000001</v>
      </c>
    </row>
    <row r="221" spans="1:45" x14ac:dyDescent="0.25">
      <c r="A221" s="174" t="s">
        <v>301</v>
      </c>
      <c r="B221" s="175">
        <v>380</v>
      </c>
      <c r="C221" s="176">
        <v>5770</v>
      </c>
      <c r="D221" s="179">
        <v>38.9</v>
      </c>
      <c r="E221" s="120">
        <v>1</v>
      </c>
      <c r="F221" s="120" t="s">
        <v>512</v>
      </c>
      <c r="G221" s="177">
        <v>23.458284377610944</v>
      </c>
      <c r="H221" s="178">
        <v>42</v>
      </c>
      <c r="I221" s="347">
        <v>17.41065</v>
      </c>
      <c r="J221" s="178">
        <f t="shared" si="13"/>
        <v>132</v>
      </c>
      <c r="K221" s="161"/>
      <c r="L221" s="166"/>
      <c r="M221" s="166"/>
      <c r="N221" s="166"/>
      <c r="O221" s="166"/>
      <c r="P221" s="155"/>
      <c r="Q221" s="166"/>
      <c r="R221" s="166"/>
      <c r="S221" s="166"/>
      <c r="T221" s="166"/>
      <c r="U221" s="166"/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54">
        <v>928</v>
      </c>
      <c r="AF221" s="59" t="s">
        <v>203</v>
      </c>
      <c r="AG221" s="27">
        <v>931</v>
      </c>
      <c r="AH221" s="125">
        <v>36</v>
      </c>
      <c r="AI221" s="371">
        <v>29.987999999999992</v>
      </c>
      <c r="AJ221" s="126">
        <v>746</v>
      </c>
      <c r="AK221" s="59" t="s">
        <v>201</v>
      </c>
      <c r="AL221" s="27">
        <v>756</v>
      </c>
      <c r="AM221" s="125">
        <v>36</v>
      </c>
      <c r="AN221" s="371">
        <v>25.388999999999999</v>
      </c>
      <c r="AO221" s="126">
        <v>746</v>
      </c>
      <c r="AP221" s="59" t="s">
        <v>201</v>
      </c>
      <c r="AQ221" s="27">
        <v>756</v>
      </c>
      <c r="AR221" s="125">
        <v>36</v>
      </c>
      <c r="AS221" s="371">
        <v>25.388999999999999</v>
      </c>
    </row>
    <row r="222" spans="1:45" x14ac:dyDescent="0.25">
      <c r="A222" s="174" t="s">
        <v>302</v>
      </c>
      <c r="B222" s="175">
        <v>436</v>
      </c>
      <c r="C222" s="176">
        <v>6680</v>
      </c>
      <c r="D222" s="179">
        <v>43.5</v>
      </c>
      <c r="E222" s="120">
        <v>1.18</v>
      </c>
      <c r="F222" s="120" t="s">
        <v>512</v>
      </c>
      <c r="G222" s="177">
        <v>23.406881483268659</v>
      </c>
      <c r="H222" s="178">
        <v>42</v>
      </c>
      <c r="I222" s="347">
        <v>18.401500000000002</v>
      </c>
      <c r="J222" s="178">
        <f t="shared" si="13"/>
        <v>148</v>
      </c>
      <c r="K222" s="161"/>
      <c r="L222" s="166"/>
      <c r="M222" s="166"/>
      <c r="N222" s="166"/>
      <c r="O222" s="166"/>
      <c r="P222" s="155"/>
      <c r="Q222" s="166"/>
      <c r="R222" s="166"/>
      <c r="S222" s="166"/>
      <c r="T222" s="166"/>
      <c r="U222" s="166"/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54">
        <v>931</v>
      </c>
      <c r="AF222" s="167" t="s">
        <v>274</v>
      </c>
      <c r="AG222" s="125">
        <v>957</v>
      </c>
      <c r="AH222" s="125">
        <v>42</v>
      </c>
      <c r="AI222" s="371">
        <v>34.275999999999996</v>
      </c>
      <c r="AJ222" s="126">
        <v>756</v>
      </c>
      <c r="AK222" s="123" t="s">
        <v>318</v>
      </c>
      <c r="AL222" s="27">
        <v>757</v>
      </c>
      <c r="AM222" s="125">
        <v>48</v>
      </c>
      <c r="AN222" s="371">
        <v>24.319500000000001</v>
      </c>
      <c r="AO222" s="126">
        <v>756</v>
      </c>
      <c r="AP222" s="123" t="s">
        <v>318</v>
      </c>
      <c r="AQ222" s="27">
        <v>757</v>
      </c>
      <c r="AR222" s="125">
        <v>48</v>
      </c>
      <c r="AS222" s="371">
        <v>24.319500000000001</v>
      </c>
    </row>
    <row r="223" spans="1:45" x14ac:dyDescent="0.25">
      <c r="A223" s="174" t="s">
        <v>303</v>
      </c>
      <c r="B223" s="175">
        <v>539</v>
      </c>
      <c r="C223" s="176">
        <v>8200</v>
      </c>
      <c r="D223" s="179">
        <v>50.8</v>
      </c>
      <c r="E223" s="120">
        <v>1.0649999999999999</v>
      </c>
      <c r="F223" s="120" t="s">
        <v>512</v>
      </c>
      <c r="G223" s="177">
        <v>26.944978718142483</v>
      </c>
      <c r="H223" s="178">
        <v>42</v>
      </c>
      <c r="I223" s="347">
        <v>18.543050000000001</v>
      </c>
      <c r="J223" s="178">
        <f t="shared" si="13"/>
        <v>173</v>
      </c>
      <c r="K223" s="125"/>
      <c r="L223" s="166"/>
      <c r="M223" s="166"/>
      <c r="N223" s="166"/>
      <c r="O223" s="166"/>
      <c r="P223" s="155"/>
      <c r="Q223" s="166"/>
      <c r="R223" s="166"/>
      <c r="S223" s="166"/>
      <c r="T223" s="166"/>
      <c r="U223" s="166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54">
        <v>957</v>
      </c>
      <c r="AF223" s="167" t="s">
        <v>292</v>
      </c>
      <c r="AG223" s="125">
        <v>970</v>
      </c>
      <c r="AH223" s="125">
        <v>42</v>
      </c>
      <c r="AI223" s="371">
        <v>32.054400000000001</v>
      </c>
      <c r="AJ223" s="126">
        <v>757</v>
      </c>
      <c r="AK223" s="159" t="s">
        <v>272</v>
      </c>
      <c r="AL223" s="160">
        <v>789</v>
      </c>
      <c r="AM223" s="161">
        <v>42</v>
      </c>
      <c r="AN223" s="371">
        <v>28.438200000000002</v>
      </c>
      <c r="AO223" s="126">
        <v>757</v>
      </c>
      <c r="AP223" s="159" t="s">
        <v>272</v>
      </c>
      <c r="AQ223" s="160">
        <v>789</v>
      </c>
      <c r="AR223" s="161">
        <v>42</v>
      </c>
      <c r="AS223" s="371">
        <v>28.438200000000002</v>
      </c>
    </row>
    <row r="224" spans="1:45" x14ac:dyDescent="0.25">
      <c r="A224" s="174" t="s">
        <v>304</v>
      </c>
      <c r="B224" s="175">
        <v>598</v>
      </c>
      <c r="C224" s="176">
        <v>9170</v>
      </c>
      <c r="D224" s="179">
        <v>56.1</v>
      </c>
      <c r="E224" s="120">
        <v>1.1850000000000001</v>
      </c>
      <c r="F224" s="120" t="s">
        <v>512</v>
      </c>
      <c r="G224" s="177">
        <v>27.079553308344799</v>
      </c>
      <c r="H224" s="178">
        <v>42</v>
      </c>
      <c r="I224" s="347">
        <v>20.100099999999998</v>
      </c>
      <c r="J224" s="178">
        <f t="shared" si="13"/>
        <v>191</v>
      </c>
      <c r="K224" s="125"/>
      <c r="L224" s="166"/>
      <c r="M224" s="166"/>
      <c r="N224" s="166"/>
      <c r="O224" s="166"/>
      <c r="P224" s="155"/>
      <c r="Q224" s="166"/>
      <c r="R224" s="166"/>
      <c r="S224" s="166"/>
      <c r="T224" s="166"/>
      <c r="U224" s="166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54">
        <v>970</v>
      </c>
      <c r="AF224" s="167" t="s">
        <v>309</v>
      </c>
      <c r="AG224" s="125">
        <v>1030</v>
      </c>
      <c r="AH224" s="125">
        <v>42</v>
      </c>
      <c r="AI224" s="371">
        <v>32.261999999999993</v>
      </c>
      <c r="AJ224" s="126">
        <v>789</v>
      </c>
      <c r="AK224" s="159" t="s">
        <v>332</v>
      </c>
      <c r="AL224" s="160">
        <v>809</v>
      </c>
      <c r="AM224" s="125">
        <v>48</v>
      </c>
      <c r="AN224" s="371">
        <v>29.562599999999996</v>
      </c>
      <c r="AO224" s="126">
        <v>789</v>
      </c>
      <c r="AP224" s="159" t="s">
        <v>332</v>
      </c>
      <c r="AQ224" s="160">
        <v>809</v>
      </c>
      <c r="AR224" s="125">
        <v>48</v>
      </c>
      <c r="AS224" s="371">
        <v>29.562599999999996</v>
      </c>
    </row>
    <row r="225" spans="1:45" x14ac:dyDescent="0.25">
      <c r="A225" s="116" t="s">
        <v>305</v>
      </c>
      <c r="B225" s="117">
        <v>663</v>
      </c>
      <c r="C225" s="118">
        <v>10300</v>
      </c>
      <c r="D225" s="119">
        <v>62</v>
      </c>
      <c r="E225" s="120">
        <v>1.3149999999999999</v>
      </c>
      <c r="F225" s="120" t="s">
        <v>512</v>
      </c>
      <c r="G225" s="120">
        <v>27.252614065548578</v>
      </c>
      <c r="H225" s="121">
        <v>42</v>
      </c>
      <c r="I225" s="343">
        <v>21.940250000000002</v>
      </c>
      <c r="J225" s="121">
        <f t="shared" si="13"/>
        <v>211</v>
      </c>
      <c r="K225" s="125"/>
      <c r="L225" s="166"/>
      <c r="M225" s="166"/>
      <c r="N225" s="166"/>
      <c r="O225" s="166"/>
      <c r="P225" s="155"/>
      <c r="Q225" s="166"/>
      <c r="R225" s="166"/>
      <c r="S225" s="166"/>
      <c r="T225" s="166"/>
      <c r="U225" s="166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54">
        <v>1030</v>
      </c>
      <c r="AF225" s="59" t="s">
        <v>204</v>
      </c>
      <c r="AG225" s="27">
        <v>1040</v>
      </c>
      <c r="AH225" s="125">
        <v>36</v>
      </c>
      <c r="AI225" s="371">
        <v>32.697000000000003</v>
      </c>
      <c r="AJ225" s="126">
        <v>809</v>
      </c>
      <c r="AK225" s="159" t="s">
        <v>290</v>
      </c>
      <c r="AL225" s="160">
        <v>811</v>
      </c>
      <c r="AM225" s="161">
        <v>42</v>
      </c>
      <c r="AN225" s="371">
        <v>26.9558</v>
      </c>
      <c r="AO225" s="126">
        <v>809</v>
      </c>
      <c r="AP225" s="159" t="s">
        <v>290</v>
      </c>
      <c r="AQ225" s="160">
        <v>811</v>
      </c>
      <c r="AR225" s="161">
        <v>42</v>
      </c>
      <c r="AS225" s="371">
        <v>26.9558</v>
      </c>
    </row>
    <row r="226" spans="1:45" x14ac:dyDescent="0.25">
      <c r="A226" s="53" t="s">
        <v>306</v>
      </c>
      <c r="B226" s="175">
        <v>746</v>
      </c>
      <c r="C226" s="176">
        <v>11700</v>
      </c>
      <c r="D226" s="179">
        <v>69</v>
      </c>
      <c r="E226" s="120">
        <v>1.5</v>
      </c>
      <c r="F226" s="120" t="s">
        <v>512</v>
      </c>
      <c r="G226" s="177">
        <v>27.340490709013515</v>
      </c>
      <c r="H226" s="178">
        <v>42</v>
      </c>
      <c r="I226" s="347">
        <v>23.489000000000001</v>
      </c>
      <c r="J226" s="178">
        <f t="shared" si="13"/>
        <v>235</v>
      </c>
      <c r="K226" s="125"/>
      <c r="L226" s="166"/>
      <c r="M226" s="166"/>
      <c r="N226" s="166"/>
      <c r="O226" s="166"/>
      <c r="P226" s="155"/>
      <c r="Q226" s="166"/>
      <c r="R226" s="166"/>
      <c r="S226" s="166"/>
      <c r="T226" s="166"/>
      <c r="U226" s="166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54">
        <v>1040</v>
      </c>
      <c r="AF226" s="167" t="s">
        <v>275</v>
      </c>
      <c r="AG226" s="125">
        <v>1060</v>
      </c>
      <c r="AH226" s="125">
        <v>42</v>
      </c>
      <c r="AI226" s="371">
        <v>37.223999999999997</v>
      </c>
      <c r="AJ226" s="126">
        <v>811</v>
      </c>
      <c r="AK226" s="60" t="s">
        <v>307</v>
      </c>
      <c r="AL226" s="160">
        <v>827</v>
      </c>
      <c r="AM226" s="161">
        <v>42</v>
      </c>
      <c r="AN226" s="371">
        <v>26.328299999999999</v>
      </c>
      <c r="AO226" s="126">
        <v>811</v>
      </c>
      <c r="AP226" s="60" t="s">
        <v>307</v>
      </c>
      <c r="AQ226" s="160">
        <v>827</v>
      </c>
      <c r="AR226" s="161">
        <v>42</v>
      </c>
      <c r="AS226" s="371">
        <v>26.328299999999999</v>
      </c>
    </row>
    <row r="227" spans="1:45" x14ac:dyDescent="0.25">
      <c r="A227" s="53" t="s">
        <v>307</v>
      </c>
      <c r="B227" s="175">
        <v>827</v>
      </c>
      <c r="C227" s="176">
        <v>13100</v>
      </c>
      <c r="D227" s="179">
        <v>76.7</v>
      </c>
      <c r="E227" s="120">
        <v>1.65</v>
      </c>
      <c r="F227" s="120" t="s">
        <v>512</v>
      </c>
      <c r="G227" s="177">
        <v>27.64884413947928</v>
      </c>
      <c r="H227" s="178">
        <v>42</v>
      </c>
      <c r="I227" s="347">
        <v>26.328299999999999</v>
      </c>
      <c r="J227" s="178">
        <f t="shared" si="13"/>
        <v>261</v>
      </c>
      <c r="K227" s="125"/>
      <c r="L227" s="166"/>
      <c r="M227" s="166"/>
      <c r="N227" s="166"/>
      <c r="O227" s="166"/>
      <c r="P227" s="155"/>
      <c r="Q227" s="166"/>
      <c r="R227" s="166"/>
      <c r="S227" s="166"/>
      <c r="T227" s="166"/>
      <c r="U227" s="166"/>
      <c r="V227" s="166"/>
      <c r="W227" s="166"/>
      <c r="X227" s="166"/>
      <c r="Y227" s="166"/>
      <c r="Z227" s="166"/>
      <c r="AA227" s="166"/>
      <c r="AB227" s="166"/>
      <c r="AC227" s="166"/>
      <c r="AD227" s="166"/>
      <c r="AE227" s="154">
        <v>1060</v>
      </c>
      <c r="AF227" s="167" t="s">
        <v>293</v>
      </c>
      <c r="AG227" s="125">
        <v>1060</v>
      </c>
      <c r="AH227" s="125">
        <v>42</v>
      </c>
      <c r="AI227" s="371">
        <v>35.093399999999995</v>
      </c>
      <c r="AJ227" s="126">
        <v>827</v>
      </c>
      <c r="AK227" s="123" t="s">
        <v>319</v>
      </c>
      <c r="AL227" s="27">
        <v>829</v>
      </c>
      <c r="AM227" s="125">
        <v>48</v>
      </c>
      <c r="AN227" s="371">
        <v>26.045399999999997</v>
      </c>
      <c r="AO227" s="126">
        <v>827</v>
      </c>
      <c r="AP227" s="123" t="s">
        <v>319</v>
      </c>
      <c r="AQ227" s="27">
        <v>829</v>
      </c>
      <c r="AR227" s="125">
        <v>48</v>
      </c>
      <c r="AS227" s="371">
        <v>26.045399999999997</v>
      </c>
    </row>
    <row r="228" spans="1:45" x14ac:dyDescent="0.25">
      <c r="A228" s="174" t="s">
        <v>308</v>
      </c>
      <c r="B228" s="175">
        <v>928</v>
      </c>
      <c r="C228" s="176">
        <v>14900</v>
      </c>
      <c r="D228" s="179">
        <v>85.7</v>
      </c>
      <c r="E228" s="120">
        <v>1.85</v>
      </c>
      <c r="F228" s="120" t="s">
        <v>512</v>
      </c>
      <c r="G228" s="177">
        <v>27.93741380488914</v>
      </c>
      <c r="H228" s="178">
        <v>42</v>
      </c>
      <c r="I228" s="347">
        <v>28.876200000000001</v>
      </c>
      <c r="J228" s="178">
        <f t="shared" si="13"/>
        <v>292</v>
      </c>
      <c r="K228" s="125"/>
      <c r="L228" s="166"/>
      <c r="M228" s="166"/>
      <c r="N228" s="166"/>
      <c r="O228" s="166"/>
      <c r="P228" s="155"/>
      <c r="Q228" s="166"/>
      <c r="R228" s="166"/>
      <c r="S228" s="166"/>
      <c r="T228" s="166"/>
      <c r="U228" s="166"/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54">
        <v>1060</v>
      </c>
      <c r="AF228" s="59" t="s">
        <v>205</v>
      </c>
      <c r="AG228" s="27">
        <v>1150</v>
      </c>
      <c r="AH228" s="125">
        <v>36</v>
      </c>
      <c r="AI228" s="371">
        <v>35.658000000000008</v>
      </c>
      <c r="AJ228" s="126">
        <v>829</v>
      </c>
      <c r="AK228" s="59" t="s">
        <v>202</v>
      </c>
      <c r="AL228" s="27">
        <v>838</v>
      </c>
      <c r="AM228" s="125">
        <v>36</v>
      </c>
      <c r="AN228" s="371">
        <v>27.594000000000001</v>
      </c>
      <c r="AO228" s="126">
        <v>829</v>
      </c>
      <c r="AP228" s="59" t="s">
        <v>202</v>
      </c>
      <c r="AQ228" s="27">
        <v>838</v>
      </c>
      <c r="AR228" s="125">
        <v>36</v>
      </c>
      <c r="AS228" s="371">
        <v>27.594000000000001</v>
      </c>
    </row>
    <row r="229" spans="1:45" x14ac:dyDescent="0.25">
      <c r="A229" s="53" t="s">
        <v>309</v>
      </c>
      <c r="B229" s="175">
        <v>1030</v>
      </c>
      <c r="C229" s="176">
        <v>16800</v>
      </c>
      <c r="D229" s="179">
        <v>95.7</v>
      </c>
      <c r="E229" s="120">
        <v>2.0499999999999998</v>
      </c>
      <c r="F229" s="120" t="s">
        <v>512</v>
      </c>
      <c r="G229" s="177">
        <v>28.234088779598622</v>
      </c>
      <c r="H229" s="178">
        <v>42</v>
      </c>
      <c r="I229" s="347">
        <v>32.261999999999993</v>
      </c>
      <c r="J229" s="178">
        <f t="shared" si="13"/>
        <v>326</v>
      </c>
      <c r="K229" s="125"/>
      <c r="L229" s="166"/>
      <c r="M229" s="166"/>
      <c r="N229" s="166"/>
      <c r="O229" s="166"/>
      <c r="P229" s="155"/>
      <c r="Q229" s="166"/>
      <c r="R229" s="166"/>
      <c r="S229" s="166"/>
      <c r="T229" s="166"/>
      <c r="U229" s="166"/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54">
        <v>1150</v>
      </c>
      <c r="AF229" s="167" t="s">
        <v>276</v>
      </c>
      <c r="AG229" s="125">
        <v>1170</v>
      </c>
      <c r="AH229" s="125">
        <v>42</v>
      </c>
      <c r="AI229" s="371">
        <v>40.8155</v>
      </c>
      <c r="AJ229" s="126">
        <v>838</v>
      </c>
      <c r="AK229" s="60" t="s">
        <v>331</v>
      </c>
      <c r="AL229" s="160">
        <v>854</v>
      </c>
      <c r="AM229" s="125">
        <v>48</v>
      </c>
      <c r="AN229" s="371">
        <v>25.8172</v>
      </c>
      <c r="AO229" s="126">
        <v>838</v>
      </c>
      <c r="AP229" s="60" t="s">
        <v>331</v>
      </c>
      <c r="AQ229" s="160">
        <v>854</v>
      </c>
      <c r="AR229" s="125">
        <v>48</v>
      </c>
      <c r="AS229" s="371">
        <v>25.8172</v>
      </c>
    </row>
    <row r="230" spans="1:45" x14ac:dyDescent="0.25">
      <c r="A230" s="174" t="s">
        <v>310</v>
      </c>
      <c r="B230" s="175">
        <v>1140</v>
      </c>
      <c r="C230" s="176">
        <v>18600</v>
      </c>
      <c r="D230" s="179">
        <v>104</v>
      </c>
      <c r="E230" s="120">
        <v>2.25</v>
      </c>
      <c r="F230" s="120" t="s">
        <v>512</v>
      </c>
      <c r="G230" s="177">
        <v>28.614718000964388</v>
      </c>
      <c r="H230" s="178">
        <v>48</v>
      </c>
      <c r="I230" s="347">
        <v>35.091999999999999</v>
      </c>
      <c r="J230" s="178">
        <f t="shared" si="13"/>
        <v>357</v>
      </c>
      <c r="K230" s="125"/>
      <c r="L230" s="166"/>
      <c r="M230" s="166"/>
      <c r="N230" s="166"/>
      <c r="O230" s="166"/>
      <c r="P230" s="155"/>
      <c r="Q230" s="166"/>
      <c r="R230" s="166"/>
      <c r="S230" s="166"/>
      <c r="T230" s="166"/>
      <c r="U230" s="166"/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54">
        <v>1170</v>
      </c>
      <c r="AF230" s="167" t="s">
        <v>294</v>
      </c>
      <c r="AG230" s="125">
        <v>1170</v>
      </c>
      <c r="AH230" s="125">
        <v>42</v>
      </c>
      <c r="AI230" s="371">
        <v>38.653599999999997</v>
      </c>
      <c r="AJ230" s="126">
        <v>854</v>
      </c>
      <c r="AK230" s="159" t="s">
        <v>273</v>
      </c>
      <c r="AL230" s="160">
        <v>864</v>
      </c>
      <c r="AM230" s="161">
        <v>42</v>
      </c>
      <c r="AN230" s="371">
        <v>31.132799999999996</v>
      </c>
      <c r="AO230" s="126">
        <v>854</v>
      </c>
      <c r="AP230" s="159" t="s">
        <v>273</v>
      </c>
      <c r="AQ230" s="160">
        <v>864</v>
      </c>
      <c r="AR230" s="161">
        <v>42</v>
      </c>
      <c r="AS230" s="371">
        <v>31.132799999999996</v>
      </c>
    </row>
    <row r="231" spans="1:45" ht="15.75" thickBot="1" x14ac:dyDescent="0.3">
      <c r="A231" s="180" t="s">
        <v>311</v>
      </c>
      <c r="B231" s="181">
        <v>1250</v>
      </c>
      <c r="C231" s="182">
        <v>20700</v>
      </c>
      <c r="D231" s="183">
        <v>114</v>
      </c>
      <c r="E231" s="133">
        <v>2.44</v>
      </c>
      <c r="F231" s="133" t="s">
        <v>512</v>
      </c>
      <c r="G231" s="184">
        <v>29.014593623592713</v>
      </c>
      <c r="H231" s="185">
        <v>48</v>
      </c>
      <c r="I231" s="348">
        <v>38.501600000000003</v>
      </c>
      <c r="J231" s="185">
        <f t="shared" si="13"/>
        <v>391</v>
      </c>
      <c r="K231" s="125"/>
      <c r="L231" s="166"/>
      <c r="M231" s="166"/>
      <c r="N231" s="166"/>
      <c r="O231" s="166"/>
      <c r="P231" s="155"/>
      <c r="Q231" s="166"/>
      <c r="R231" s="166"/>
      <c r="S231" s="166"/>
      <c r="T231" s="166"/>
      <c r="U231" s="166"/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54">
        <v>1170</v>
      </c>
      <c r="AF231" s="59" t="s">
        <v>206</v>
      </c>
      <c r="AG231" s="27">
        <v>1280</v>
      </c>
      <c r="AH231" s="125">
        <v>36</v>
      </c>
      <c r="AI231" s="371">
        <v>38.682000000000002</v>
      </c>
      <c r="AJ231" s="126">
        <v>864</v>
      </c>
      <c r="AK231" s="159" t="s">
        <v>291</v>
      </c>
      <c r="AL231" s="160">
        <v>884</v>
      </c>
      <c r="AM231" s="161">
        <v>42</v>
      </c>
      <c r="AN231" s="371">
        <v>29.498799999999999</v>
      </c>
      <c r="AO231" s="126">
        <v>864</v>
      </c>
      <c r="AP231" s="159" t="s">
        <v>291</v>
      </c>
      <c r="AQ231" s="160">
        <v>884</v>
      </c>
      <c r="AR231" s="161">
        <v>42</v>
      </c>
      <c r="AS231" s="371">
        <v>29.498799999999999</v>
      </c>
    </row>
    <row r="232" spans="1:45" x14ac:dyDescent="0.25">
      <c r="A232" s="169" t="s">
        <v>312</v>
      </c>
      <c r="B232" s="170">
        <v>359</v>
      </c>
      <c r="C232" s="171">
        <v>5900</v>
      </c>
      <c r="D232" s="186">
        <v>34.700000000000003</v>
      </c>
      <c r="E232" s="172">
        <v>0.74</v>
      </c>
      <c r="F232" s="172" t="s">
        <v>512</v>
      </c>
      <c r="G232" s="172">
        <v>25.944791997867146</v>
      </c>
      <c r="H232" s="173">
        <v>42</v>
      </c>
      <c r="I232" s="346">
        <v>17.259</v>
      </c>
      <c r="J232" s="173">
        <f t="shared" si="13"/>
        <v>118</v>
      </c>
      <c r="K232" s="125"/>
      <c r="L232" s="166"/>
      <c r="M232" s="166"/>
      <c r="N232" s="166"/>
      <c r="O232" s="166"/>
      <c r="P232" s="155"/>
      <c r="Q232" s="166"/>
      <c r="R232" s="166"/>
      <c r="S232" s="166"/>
      <c r="T232" s="166"/>
      <c r="U232" s="166"/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54">
        <v>1280</v>
      </c>
      <c r="AF232" s="167" t="s">
        <v>277</v>
      </c>
      <c r="AG232" s="125">
        <v>1290</v>
      </c>
      <c r="AH232" s="125">
        <v>42</v>
      </c>
      <c r="AI232" s="371">
        <v>44.462899999999998</v>
      </c>
      <c r="AJ232" s="126">
        <v>884</v>
      </c>
      <c r="AK232" s="59" t="s">
        <v>334</v>
      </c>
      <c r="AL232" s="160">
        <v>895</v>
      </c>
      <c r="AM232" s="161">
        <v>48</v>
      </c>
      <c r="AN232" s="371">
        <v>32.611199999999997</v>
      </c>
      <c r="AO232" s="126">
        <v>884</v>
      </c>
      <c r="AP232" s="59" t="s">
        <v>334</v>
      </c>
      <c r="AQ232" s="160">
        <v>895</v>
      </c>
      <c r="AR232" s="161">
        <v>48</v>
      </c>
      <c r="AS232" s="371">
        <v>32.611199999999997</v>
      </c>
    </row>
    <row r="233" spans="1:45" ht="15.75" thickBot="1" x14ac:dyDescent="0.3">
      <c r="A233" s="53" t="s">
        <v>313</v>
      </c>
      <c r="B233" s="175">
        <v>406</v>
      </c>
      <c r="C233" s="176">
        <v>6710</v>
      </c>
      <c r="D233" s="179">
        <v>38.299999999999997</v>
      </c>
      <c r="E233" s="177">
        <v>0.85499999999999998</v>
      </c>
      <c r="F233" s="120" t="s">
        <v>512</v>
      </c>
      <c r="G233" s="177">
        <v>25.846134846596378</v>
      </c>
      <c r="H233" s="178">
        <v>42</v>
      </c>
      <c r="I233" s="347">
        <v>18.200400000000002</v>
      </c>
      <c r="J233" s="178">
        <f t="shared" si="13"/>
        <v>130</v>
      </c>
      <c r="K233" s="125"/>
      <c r="L233" s="166"/>
      <c r="M233" s="166"/>
      <c r="N233" s="166"/>
      <c r="O233" s="166"/>
      <c r="P233" s="155"/>
      <c r="Q233" s="166"/>
      <c r="R233" s="166"/>
      <c r="S233" s="166"/>
      <c r="T233" s="166"/>
      <c r="U233" s="166"/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54">
        <v>1290</v>
      </c>
      <c r="AF233" s="188" t="s">
        <v>295</v>
      </c>
      <c r="AG233" s="150">
        <v>1300</v>
      </c>
      <c r="AH233" s="150">
        <v>42</v>
      </c>
      <c r="AI233" s="385">
        <v>41.975999999999999</v>
      </c>
      <c r="AJ233" s="126">
        <v>895</v>
      </c>
      <c r="AK233" s="60" t="s">
        <v>333</v>
      </c>
      <c r="AL233" s="160">
        <v>913</v>
      </c>
      <c r="AM233" s="125">
        <v>48</v>
      </c>
      <c r="AN233" s="371">
        <v>27.176000000000002</v>
      </c>
      <c r="AO233" s="126">
        <v>895</v>
      </c>
      <c r="AP233" s="60" t="s">
        <v>333</v>
      </c>
      <c r="AQ233" s="160">
        <v>913</v>
      </c>
      <c r="AR233" s="125">
        <v>48</v>
      </c>
      <c r="AS233" s="371">
        <v>27.176000000000002</v>
      </c>
    </row>
    <row r="234" spans="1:45" ht="15.75" thickBot="1" x14ac:dyDescent="0.3">
      <c r="A234" s="174" t="s">
        <v>314</v>
      </c>
      <c r="B234" s="175">
        <v>448</v>
      </c>
      <c r="C234" s="176">
        <v>7450</v>
      </c>
      <c r="D234" s="179">
        <v>41.6</v>
      </c>
      <c r="E234" s="177">
        <v>0.96</v>
      </c>
      <c r="F234" s="120" t="s">
        <v>512</v>
      </c>
      <c r="G234" s="177">
        <v>25.784093924731632</v>
      </c>
      <c r="H234" s="178">
        <v>42</v>
      </c>
      <c r="I234" s="347">
        <v>18.984899999999996</v>
      </c>
      <c r="J234" s="178">
        <f t="shared" si="13"/>
        <v>141</v>
      </c>
      <c r="K234" s="125"/>
      <c r="L234" s="166"/>
      <c r="M234" s="166"/>
      <c r="N234" s="166"/>
      <c r="O234" s="166"/>
      <c r="P234" s="155"/>
      <c r="Q234" s="166"/>
      <c r="R234" s="166"/>
      <c r="S234" s="166"/>
      <c r="T234" s="166"/>
      <c r="U234" s="166"/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5">
        <v>1300</v>
      </c>
      <c r="AF234" s="165" t="s">
        <v>353</v>
      </c>
      <c r="AG234" s="153"/>
      <c r="AH234" s="153"/>
      <c r="AI234" s="377"/>
      <c r="AJ234" s="154">
        <v>913</v>
      </c>
      <c r="AK234" s="123" t="s">
        <v>320</v>
      </c>
      <c r="AL234" s="27">
        <v>917</v>
      </c>
      <c r="AM234" s="125">
        <v>48</v>
      </c>
      <c r="AN234" s="371">
        <v>27.3093</v>
      </c>
      <c r="AO234" s="154">
        <v>913</v>
      </c>
      <c r="AP234" s="123" t="s">
        <v>320</v>
      </c>
      <c r="AQ234" s="27">
        <v>917</v>
      </c>
      <c r="AR234" s="125">
        <v>48</v>
      </c>
      <c r="AS234" s="371">
        <v>27.3093</v>
      </c>
    </row>
    <row r="235" spans="1:45" x14ac:dyDescent="0.25">
      <c r="A235" s="189" t="s">
        <v>315</v>
      </c>
      <c r="B235" s="175">
        <v>487</v>
      </c>
      <c r="C235" s="176">
        <v>8160</v>
      </c>
      <c r="D235" s="179">
        <v>44.7</v>
      </c>
      <c r="E235" s="177">
        <v>1.0549999999999999</v>
      </c>
      <c r="F235" s="120" t="s">
        <v>512</v>
      </c>
      <c r="G235" s="177">
        <v>25.787565085436341</v>
      </c>
      <c r="H235" s="178">
        <v>42</v>
      </c>
      <c r="I235" s="347">
        <v>19.926300000000001</v>
      </c>
      <c r="J235" s="178">
        <f t="shared" si="13"/>
        <v>152</v>
      </c>
      <c r="K235" s="161"/>
      <c r="L235" s="166"/>
      <c r="M235" s="166"/>
      <c r="N235" s="166"/>
      <c r="O235" s="166"/>
      <c r="P235" s="155"/>
      <c r="Q235" s="166"/>
      <c r="R235" s="166"/>
      <c r="S235" s="166"/>
      <c r="T235" s="166"/>
      <c r="U235" s="166"/>
      <c r="V235" s="166"/>
      <c r="W235" s="166"/>
      <c r="X235" s="166"/>
      <c r="Y235" s="166"/>
      <c r="Z235" s="166"/>
      <c r="AA235" s="166"/>
      <c r="AB235" s="166"/>
      <c r="AC235" s="166"/>
      <c r="AD235" s="166"/>
      <c r="AE235" s="166"/>
      <c r="AF235" s="166"/>
      <c r="AG235" s="166"/>
      <c r="AH235" s="166"/>
      <c r="AI235" s="166"/>
      <c r="AJ235" s="154">
        <v>917</v>
      </c>
      <c r="AK235" s="159" t="s">
        <v>308</v>
      </c>
      <c r="AL235" s="160">
        <v>928</v>
      </c>
      <c r="AM235" s="161">
        <v>42</v>
      </c>
      <c r="AN235" s="371">
        <v>28.876200000000001</v>
      </c>
      <c r="AO235" s="154">
        <v>917</v>
      </c>
      <c r="AP235" s="159" t="s">
        <v>308</v>
      </c>
      <c r="AQ235" s="160">
        <v>928</v>
      </c>
      <c r="AR235" s="161">
        <v>42</v>
      </c>
      <c r="AS235" s="371">
        <v>28.876200000000001</v>
      </c>
    </row>
    <row r="236" spans="1:45" x14ac:dyDescent="0.25">
      <c r="A236" s="189" t="s">
        <v>316</v>
      </c>
      <c r="B236" s="175">
        <v>549</v>
      </c>
      <c r="C236" s="176">
        <v>9290</v>
      </c>
      <c r="D236" s="179">
        <v>49.5</v>
      </c>
      <c r="E236" s="177">
        <v>1.22</v>
      </c>
      <c r="F236" s="120" t="s">
        <v>512</v>
      </c>
      <c r="G236" s="177">
        <v>25.715018485984238</v>
      </c>
      <c r="H236" s="178">
        <v>42</v>
      </c>
      <c r="I236" s="347">
        <v>21.0246</v>
      </c>
      <c r="J236" s="178">
        <f t="shared" si="13"/>
        <v>169</v>
      </c>
      <c r="K236" s="125"/>
      <c r="L236" s="166"/>
      <c r="M236" s="166"/>
      <c r="N236" s="166"/>
      <c r="O236" s="166"/>
      <c r="P236" s="155"/>
      <c r="Q236" s="166"/>
      <c r="R236" s="166"/>
      <c r="S236" s="166"/>
      <c r="T236" s="166"/>
      <c r="U236" s="166"/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/>
      <c r="AF236" s="166"/>
      <c r="AG236" s="166"/>
      <c r="AH236" s="166"/>
      <c r="AI236" s="166"/>
      <c r="AJ236" s="154">
        <v>928</v>
      </c>
      <c r="AK236" s="59" t="s">
        <v>203</v>
      </c>
      <c r="AL236" s="27">
        <v>931</v>
      </c>
      <c r="AM236" s="125">
        <v>36</v>
      </c>
      <c r="AN236" s="371">
        <v>29.987999999999992</v>
      </c>
      <c r="AO236" s="154">
        <v>928</v>
      </c>
      <c r="AP236" s="59" t="s">
        <v>203</v>
      </c>
      <c r="AQ236" s="27">
        <v>931</v>
      </c>
      <c r="AR236" s="125">
        <v>36</v>
      </c>
      <c r="AS236" s="371">
        <v>29.987999999999992</v>
      </c>
    </row>
    <row r="237" spans="1:45" x14ac:dyDescent="0.25">
      <c r="A237" s="116" t="s">
        <v>317</v>
      </c>
      <c r="B237" s="117">
        <v>684</v>
      </c>
      <c r="C237" s="118">
        <v>11500</v>
      </c>
      <c r="D237" s="119">
        <v>59.1</v>
      </c>
      <c r="E237" s="120">
        <v>1.1499999999999999</v>
      </c>
      <c r="F237" s="120" t="s">
        <v>512</v>
      </c>
      <c r="G237" s="120">
        <v>29.203936562543689</v>
      </c>
      <c r="H237" s="121">
        <v>48</v>
      </c>
      <c r="I237" s="343">
        <v>22.436699999999998</v>
      </c>
      <c r="J237" s="121">
        <f t="shared" si="13"/>
        <v>201</v>
      </c>
      <c r="K237" s="125"/>
      <c r="L237" s="166"/>
      <c r="M237" s="166"/>
      <c r="N237" s="166"/>
      <c r="O237" s="166"/>
      <c r="P237" s="155"/>
      <c r="Q237" s="166"/>
      <c r="R237" s="166"/>
      <c r="S237" s="166"/>
      <c r="T237" s="166"/>
      <c r="U237" s="166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/>
      <c r="AF237" s="166"/>
      <c r="AG237" s="166"/>
      <c r="AH237" s="166"/>
      <c r="AI237" s="166"/>
      <c r="AJ237" s="154">
        <v>931</v>
      </c>
      <c r="AK237" s="159" t="s">
        <v>274</v>
      </c>
      <c r="AL237" s="160">
        <v>957</v>
      </c>
      <c r="AM237" s="161">
        <v>42</v>
      </c>
      <c r="AN237" s="371">
        <v>34.275999999999996</v>
      </c>
      <c r="AO237" s="154">
        <v>931</v>
      </c>
      <c r="AP237" s="159" t="s">
        <v>274</v>
      </c>
      <c r="AQ237" s="160">
        <v>957</v>
      </c>
      <c r="AR237" s="161">
        <v>42</v>
      </c>
      <c r="AS237" s="371">
        <v>34.275999999999996</v>
      </c>
    </row>
    <row r="238" spans="1:45" x14ac:dyDescent="0.25">
      <c r="A238" s="116" t="s">
        <v>318</v>
      </c>
      <c r="B238" s="117">
        <v>757</v>
      </c>
      <c r="C238" s="118">
        <v>12800</v>
      </c>
      <c r="D238" s="119">
        <v>65</v>
      </c>
      <c r="E238" s="120">
        <v>1.2749999999999999</v>
      </c>
      <c r="F238" s="120" t="s">
        <v>512</v>
      </c>
      <c r="G238" s="120">
        <v>29.357938151136871</v>
      </c>
      <c r="H238" s="121">
        <v>48</v>
      </c>
      <c r="I238" s="343">
        <v>24.319500000000001</v>
      </c>
      <c r="J238" s="121">
        <f t="shared" si="13"/>
        <v>221</v>
      </c>
      <c r="K238" s="125"/>
      <c r="L238" s="166"/>
      <c r="M238" s="166"/>
      <c r="N238" s="166"/>
      <c r="O238" s="166"/>
      <c r="P238" s="155"/>
      <c r="Q238" s="166"/>
      <c r="R238" s="166"/>
      <c r="S238" s="166"/>
      <c r="T238" s="166"/>
      <c r="U238" s="166"/>
      <c r="V238" s="166"/>
      <c r="W238" s="166"/>
      <c r="X238" s="166"/>
      <c r="Y238" s="166"/>
      <c r="Z238" s="166"/>
      <c r="AA238" s="166"/>
      <c r="AB238" s="166"/>
      <c r="AC238" s="166"/>
      <c r="AD238" s="166"/>
      <c r="AE238" s="166"/>
      <c r="AF238" s="166"/>
      <c r="AG238" s="166"/>
      <c r="AH238" s="166"/>
      <c r="AI238" s="166"/>
      <c r="AJ238" s="154">
        <v>957</v>
      </c>
      <c r="AK238" s="159" t="s">
        <v>292</v>
      </c>
      <c r="AL238" s="160">
        <v>970</v>
      </c>
      <c r="AM238" s="161">
        <v>42</v>
      </c>
      <c r="AN238" s="371">
        <v>32.054400000000001</v>
      </c>
      <c r="AO238" s="154">
        <v>957</v>
      </c>
      <c r="AP238" s="159" t="s">
        <v>292</v>
      </c>
      <c r="AQ238" s="160">
        <v>970</v>
      </c>
      <c r="AR238" s="161">
        <v>42</v>
      </c>
      <c r="AS238" s="371">
        <v>32.054400000000001</v>
      </c>
    </row>
    <row r="239" spans="1:45" x14ac:dyDescent="0.25">
      <c r="A239" s="116" t="s">
        <v>319</v>
      </c>
      <c r="B239" s="117">
        <v>829</v>
      </c>
      <c r="C239" s="118">
        <v>14200</v>
      </c>
      <c r="D239" s="119">
        <v>70.900000000000006</v>
      </c>
      <c r="E239" s="120">
        <v>1.4</v>
      </c>
      <c r="F239" s="120" t="s">
        <v>512</v>
      </c>
      <c r="G239" s="120">
        <v>29.49883713268315</v>
      </c>
      <c r="H239" s="121">
        <v>48</v>
      </c>
      <c r="I239" s="343">
        <v>26.045399999999997</v>
      </c>
      <c r="J239" s="121">
        <f t="shared" si="13"/>
        <v>241</v>
      </c>
      <c r="K239" s="125"/>
      <c r="L239" s="166"/>
      <c r="M239" s="166"/>
      <c r="N239" s="166"/>
      <c r="O239" s="166"/>
      <c r="P239" s="155"/>
      <c r="Q239" s="166"/>
      <c r="R239" s="166"/>
      <c r="S239" s="166"/>
      <c r="T239" s="166"/>
      <c r="U239" s="166"/>
      <c r="V239" s="166"/>
      <c r="W239" s="166"/>
      <c r="X239" s="166"/>
      <c r="Y239" s="166"/>
      <c r="Z239" s="166"/>
      <c r="AA239" s="166"/>
      <c r="AB239" s="166"/>
      <c r="AC239" s="166"/>
      <c r="AD239" s="166"/>
      <c r="AE239" s="166"/>
      <c r="AF239" s="166"/>
      <c r="AG239" s="166"/>
      <c r="AH239" s="166"/>
      <c r="AI239" s="166"/>
      <c r="AJ239" s="154">
        <v>970</v>
      </c>
      <c r="AK239" s="123" t="s">
        <v>335</v>
      </c>
      <c r="AL239" s="27">
        <v>972</v>
      </c>
      <c r="AM239" s="125">
        <v>48</v>
      </c>
      <c r="AN239" s="371">
        <v>28.534799999999997</v>
      </c>
      <c r="AO239" s="154">
        <v>970</v>
      </c>
      <c r="AP239" s="123" t="s">
        <v>335</v>
      </c>
      <c r="AQ239" s="27">
        <v>972</v>
      </c>
      <c r="AR239" s="125">
        <v>48</v>
      </c>
      <c r="AS239" s="371">
        <v>28.534799999999997</v>
      </c>
    </row>
    <row r="240" spans="1:45" x14ac:dyDescent="0.25">
      <c r="A240" s="116" t="s">
        <v>320</v>
      </c>
      <c r="B240" s="117">
        <v>917</v>
      </c>
      <c r="C240" s="118">
        <v>15800</v>
      </c>
      <c r="D240" s="119">
        <v>77.400000000000006</v>
      </c>
      <c r="E240" s="120">
        <v>1.57</v>
      </c>
      <c r="F240" s="120" t="s">
        <v>512</v>
      </c>
      <c r="G240" s="120">
        <v>29.550912959830097</v>
      </c>
      <c r="H240" s="121">
        <v>48</v>
      </c>
      <c r="I240" s="343">
        <v>27.3093</v>
      </c>
      <c r="J240" s="121">
        <f t="shared" si="13"/>
        <v>263</v>
      </c>
      <c r="K240" s="125"/>
      <c r="L240" s="166"/>
      <c r="M240" s="166"/>
      <c r="N240" s="166"/>
      <c r="O240" s="166"/>
      <c r="P240" s="155"/>
      <c r="Q240" s="166"/>
      <c r="R240" s="166"/>
      <c r="S240" s="166"/>
      <c r="T240" s="166"/>
      <c r="U240" s="166"/>
      <c r="V240" s="166"/>
      <c r="W240" s="166"/>
      <c r="X240" s="166"/>
      <c r="Y240" s="166"/>
      <c r="Z240" s="166"/>
      <c r="AA240" s="166"/>
      <c r="AB240" s="166"/>
      <c r="AC240" s="166"/>
      <c r="AD240" s="166"/>
      <c r="AE240" s="166"/>
      <c r="AF240" s="166"/>
      <c r="AG240" s="166"/>
      <c r="AH240" s="166"/>
      <c r="AI240" s="166"/>
      <c r="AJ240" s="154">
        <v>972</v>
      </c>
      <c r="AK240" s="123" t="s">
        <v>321</v>
      </c>
      <c r="AL240" s="27">
        <v>1010</v>
      </c>
      <c r="AM240" s="125">
        <v>48</v>
      </c>
      <c r="AN240" s="371">
        <v>30.1248</v>
      </c>
      <c r="AO240" s="154">
        <v>972</v>
      </c>
      <c r="AP240" s="123" t="s">
        <v>321</v>
      </c>
      <c r="AQ240" s="27">
        <v>1010</v>
      </c>
      <c r="AR240" s="125">
        <v>48</v>
      </c>
      <c r="AS240" s="371">
        <v>30.1248</v>
      </c>
    </row>
    <row r="241" spans="1:45" x14ac:dyDescent="0.25">
      <c r="A241" s="116" t="s">
        <v>321</v>
      </c>
      <c r="B241" s="117">
        <v>1010</v>
      </c>
      <c r="C241" s="118">
        <v>17700</v>
      </c>
      <c r="D241" s="119">
        <v>85.6</v>
      </c>
      <c r="E241" s="120">
        <v>1.73</v>
      </c>
      <c r="F241" s="120" t="s">
        <v>512</v>
      </c>
      <c r="G241" s="120">
        <v>29.769370507074864</v>
      </c>
      <c r="H241" s="121">
        <v>48</v>
      </c>
      <c r="I241" s="343">
        <v>30.1248</v>
      </c>
      <c r="J241" s="121">
        <f t="shared" si="13"/>
        <v>291</v>
      </c>
      <c r="K241" s="125"/>
      <c r="L241" s="166"/>
      <c r="M241" s="166"/>
      <c r="N241" s="166"/>
      <c r="O241" s="166"/>
      <c r="P241" s="155"/>
      <c r="Q241" s="166"/>
      <c r="R241" s="166"/>
      <c r="S241" s="166"/>
      <c r="T241" s="166"/>
      <c r="U241" s="166"/>
      <c r="V241" s="166"/>
      <c r="W241" s="166"/>
      <c r="X241" s="166"/>
      <c r="Y241" s="166"/>
      <c r="Z241" s="166"/>
      <c r="AA241" s="166"/>
      <c r="AB241" s="166"/>
      <c r="AC241" s="166"/>
      <c r="AD241" s="166"/>
      <c r="AE241" s="166"/>
      <c r="AF241" s="166"/>
      <c r="AG241" s="166"/>
      <c r="AH241" s="166"/>
      <c r="AI241" s="166"/>
      <c r="AJ241" s="154">
        <v>1010</v>
      </c>
      <c r="AK241" s="60" t="s">
        <v>309</v>
      </c>
      <c r="AL241" s="160">
        <v>1030</v>
      </c>
      <c r="AM241" s="161">
        <v>42</v>
      </c>
      <c r="AN241" s="371">
        <v>32.261999999999993</v>
      </c>
      <c r="AO241" s="154">
        <v>1010</v>
      </c>
      <c r="AP241" s="60" t="s">
        <v>309</v>
      </c>
      <c r="AQ241" s="160">
        <v>1030</v>
      </c>
      <c r="AR241" s="161">
        <v>42</v>
      </c>
      <c r="AS241" s="371">
        <v>32.261999999999993</v>
      </c>
    </row>
    <row r="242" spans="1:45" x14ac:dyDescent="0.25">
      <c r="A242" s="116" t="s">
        <v>322</v>
      </c>
      <c r="B242" s="117">
        <v>1110</v>
      </c>
      <c r="C242" s="118">
        <v>19500</v>
      </c>
      <c r="D242" s="119">
        <v>93.5</v>
      </c>
      <c r="E242" s="120">
        <v>1.89</v>
      </c>
      <c r="F242" s="120" t="s">
        <v>512</v>
      </c>
      <c r="G242" s="120">
        <v>30.074177906515402</v>
      </c>
      <c r="H242" s="121">
        <v>48</v>
      </c>
      <c r="I242" s="343">
        <v>32.635199999999998</v>
      </c>
      <c r="J242" s="121">
        <f t="shared" si="13"/>
        <v>318</v>
      </c>
      <c r="K242" s="125"/>
      <c r="L242" s="166"/>
      <c r="M242" s="166"/>
      <c r="N242" s="166"/>
      <c r="O242" s="166"/>
      <c r="P242" s="155"/>
      <c r="Q242" s="166"/>
      <c r="R242" s="166"/>
      <c r="S242" s="166"/>
      <c r="T242" s="166"/>
      <c r="U242" s="166"/>
      <c r="V242" s="166"/>
      <c r="W242" s="166"/>
      <c r="X242" s="166"/>
      <c r="Y242" s="166"/>
      <c r="Z242" s="166"/>
      <c r="AA242" s="166"/>
      <c r="AB242" s="166"/>
      <c r="AC242" s="166"/>
      <c r="AD242" s="166"/>
      <c r="AE242" s="166"/>
      <c r="AF242" s="166"/>
      <c r="AG242" s="166"/>
      <c r="AH242" s="166"/>
      <c r="AI242" s="166"/>
      <c r="AJ242" s="154">
        <v>1030</v>
      </c>
      <c r="AK242" s="59" t="s">
        <v>204</v>
      </c>
      <c r="AL242" s="27">
        <v>1040</v>
      </c>
      <c r="AM242" s="125">
        <v>36</v>
      </c>
      <c r="AN242" s="371">
        <v>32.697000000000003</v>
      </c>
      <c r="AO242" s="154">
        <v>1030</v>
      </c>
      <c r="AP242" s="59" t="s">
        <v>204</v>
      </c>
      <c r="AQ242" s="27">
        <v>1040</v>
      </c>
      <c r="AR242" s="125">
        <v>36</v>
      </c>
      <c r="AS242" s="371">
        <v>32.697000000000003</v>
      </c>
    </row>
    <row r="243" spans="1:45" ht="15.75" thickBot="1" x14ac:dyDescent="0.3">
      <c r="A243" s="190" t="s">
        <v>323</v>
      </c>
      <c r="B243" s="181">
        <v>1230</v>
      </c>
      <c r="C243" s="131">
        <v>21900</v>
      </c>
      <c r="D243" s="183">
        <v>104</v>
      </c>
      <c r="E243" s="133">
        <v>2.09</v>
      </c>
      <c r="F243" s="133" t="s">
        <v>512</v>
      </c>
      <c r="G243" s="133">
        <v>30.380001145022582</v>
      </c>
      <c r="H243" s="134">
        <v>48</v>
      </c>
      <c r="I243" s="344">
        <v>36.389199999999995</v>
      </c>
      <c r="J243" s="134">
        <f t="shared" si="13"/>
        <v>354</v>
      </c>
      <c r="K243" s="161"/>
      <c r="L243" s="166"/>
      <c r="M243" s="166"/>
      <c r="N243" s="166"/>
      <c r="O243" s="166"/>
      <c r="P243" s="155"/>
      <c r="Q243" s="166"/>
      <c r="R243" s="166"/>
      <c r="S243" s="166"/>
      <c r="T243" s="166"/>
      <c r="U243" s="166"/>
      <c r="V243" s="166"/>
      <c r="W243" s="166"/>
      <c r="X243" s="166"/>
      <c r="Y243" s="166"/>
      <c r="Z243" s="166"/>
      <c r="AA243" s="166"/>
      <c r="AB243" s="166"/>
      <c r="AC243" s="166"/>
      <c r="AD243" s="166"/>
      <c r="AE243" s="166"/>
      <c r="AF243" s="166"/>
      <c r="AG243" s="166"/>
      <c r="AH243" s="166"/>
      <c r="AI243" s="166"/>
      <c r="AJ243" s="154">
        <v>1040</v>
      </c>
      <c r="AK243" s="59" t="s">
        <v>336</v>
      </c>
      <c r="AL243" s="27">
        <v>1050</v>
      </c>
      <c r="AM243" s="125">
        <v>48</v>
      </c>
      <c r="AN243" s="371">
        <v>30.06345</v>
      </c>
      <c r="AO243" s="154">
        <v>1040</v>
      </c>
      <c r="AP243" s="59" t="s">
        <v>336</v>
      </c>
      <c r="AQ243" s="27">
        <v>1050</v>
      </c>
      <c r="AR243" s="125">
        <v>48</v>
      </c>
      <c r="AS243" s="371">
        <v>30.06345</v>
      </c>
    </row>
    <row r="244" spans="1:45" x14ac:dyDescent="0.25">
      <c r="A244" s="191" t="s">
        <v>324</v>
      </c>
      <c r="B244" s="170">
        <v>439</v>
      </c>
      <c r="C244" s="171">
        <v>7800</v>
      </c>
      <c r="D244" s="107">
        <v>39.700000000000003</v>
      </c>
      <c r="E244" s="108">
        <v>0.79</v>
      </c>
      <c r="F244" s="108" t="s">
        <v>512</v>
      </c>
      <c r="G244" s="108">
        <v>27.764665485074705</v>
      </c>
      <c r="H244" s="109">
        <v>48</v>
      </c>
      <c r="I244" s="342">
        <v>20.381999999999998</v>
      </c>
      <c r="J244" s="109">
        <f t="shared" si="13"/>
        <v>135</v>
      </c>
      <c r="K244" s="125"/>
      <c r="L244" s="166"/>
      <c r="M244" s="166"/>
      <c r="N244" s="166"/>
      <c r="O244" s="166"/>
      <c r="P244" s="155"/>
      <c r="Q244" s="166"/>
      <c r="R244" s="166"/>
      <c r="S244" s="166"/>
      <c r="T244" s="166"/>
      <c r="U244" s="166"/>
      <c r="V244" s="166"/>
      <c r="W244" s="166"/>
      <c r="X244" s="166"/>
      <c r="Y244" s="166"/>
      <c r="Z244" s="166"/>
      <c r="AA244" s="166"/>
      <c r="AB244" s="166"/>
      <c r="AC244" s="166"/>
      <c r="AD244" s="166"/>
      <c r="AE244" s="166"/>
      <c r="AF244" s="166"/>
      <c r="AG244" s="166"/>
      <c r="AH244" s="166"/>
      <c r="AI244" s="166"/>
      <c r="AJ244" s="154">
        <v>1050</v>
      </c>
      <c r="AK244" s="159" t="s">
        <v>275</v>
      </c>
      <c r="AL244" s="160">
        <v>1060</v>
      </c>
      <c r="AM244" s="161">
        <v>42</v>
      </c>
      <c r="AN244" s="371">
        <v>37.223999999999997</v>
      </c>
      <c r="AO244" s="154">
        <v>1050</v>
      </c>
      <c r="AP244" s="159" t="s">
        <v>275</v>
      </c>
      <c r="AQ244" s="160">
        <v>1060</v>
      </c>
      <c r="AR244" s="161">
        <v>42</v>
      </c>
      <c r="AS244" s="371">
        <v>37.223999999999997</v>
      </c>
    </row>
    <row r="245" spans="1:45" x14ac:dyDescent="0.25">
      <c r="A245" s="192" t="s">
        <v>325</v>
      </c>
      <c r="B245" s="175">
        <v>504</v>
      </c>
      <c r="C245" s="176">
        <v>9040</v>
      </c>
      <c r="D245" s="119">
        <v>44.2</v>
      </c>
      <c r="E245" s="120">
        <v>0.94</v>
      </c>
      <c r="F245" s="120" t="s">
        <v>512</v>
      </c>
      <c r="G245" s="120">
        <v>27.509574894727894</v>
      </c>
      <c r="H245" s="121">
        <v>48</v>
      </c>
      <c r="I245" s="343">
        <v>21.231249999999999</v>
      </c>
      <c r="J245" s="121">
        <f t="shared" si="13"/>
        <v>150</v>
      </c>
      <c r="K245" s="125"/>
      <c r="L245" s="166"/>
      <c r="M245" s="166"/>
      <c r="N245" s="166"/>
      <c r="O245" s="166"/>
      <c r="P245" s="155"/>
      <c r="Q245" s="166"/>
      <c r="R245" s="166"/>
      <c r="S245" s="166"/>
      <c r="T245" s="166"/>
      <c r="U245" s="166"/>
      <c r="V245" s="166"/>
      <c r="W245" s="166"/>
      <c r="X245" s="166"/>
      <c r="Y245" s="166"/>
      <c r="Z245" s="166"/>
      <c r="AA245" s="166"/>
      <c r="AB245" s="166"/>
      <c r="AC245" s="166"/>
      <c r="AD245" s="166"/>
      <c r="AE245" s="166"/>
      <c r="AF245" s="166"/>
      <c r="AG245" s="166"/>
      <c r="AH245" s="166"/>
      <c r="AI245" s="166"/>
      <c r="AJ245" s="154">
        <v>1060</v>
      </c>
      <c r="AK245" s="159" t="s">
        <v>293</v>
      </c>
      <c r="AL245" s="160">
        <v>1060</v>
      </c>
      <c r="AM245" s="161">
        <v>42</v>
      </c>
      <c r="AN245" s="371">
        <v>35.093399999999995</v>
      </c>
      <c r="AO245" s="154">
        <v>1060</v>
      </c>
      <c r="AP245" s="159" t="s">
        <v>293</v>
      </c>
      <c r="AQ245" s="160">
        <v>1060</v>
      </c>
      <c r="AR245" s="161">
        <v>42</v>
      </c>
      <c r="AS245" s="371">
        <v>35.093399999999995</v>
      </c>
    </row>
    <row r="246" spans="1:45" x14ac:dyDescent="0.25">
      <c r="A246" s="192" t="s">
        <v>326</v>
      </c>
      <c r="B246" s="175">
        <v>542</v>
      </c>
      <c r="C246" s="176">
        <v>9750</v>
      </c>
      <c r="D246" s="119">
        <v>47</v>
      </c>
      <c r="E246" s="120">
        <v>1.02</v>
      </c>
      <c r="F246" s="120" t="s">
        <v>512</v>
      </c>
      <c r="G246" s="120">
        <v>27.507325529189877</v>
      </c>
      <c r="H246" s="121">
        <v>48</v>
      </c>
      <c r="I246" s="343">
        <v>22.080500000000001</v>
      </c>
      <c r="J246" s="121">
        <f t="shared" si="13"/>
        <v>160</v>
      </c>
      <c r="K246" s="161"/>
      <c r="L246" s="166"/>
      <c r="M246" s="166"/>
      <c r="N246" s="166"/>
      <c r="O246" s="166"/>
      <c r="P246" s="155"/>
      <c r="Q246" s="166"/>
      <c r="R246" s="166"/>
      <c r="S246" s="166"/>
      <c r="T246" s="166"/>
      <c r="U246" s="166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/>
      <c r="AF246" s="166"/>
      <c r="AG246" s="166"/>
      <c r="AH246" s="166"/>
      <c r="AI246" s="166"/>
      <c r="AJ246" s="154">
        <v>1060</v>
      </c>
      <c r="AK246" s="123" t="s">
        <v>322</v>
      </c>
      <c r="AL246" s="27">
        <v>1110</v>
      </c>
      <c r="AM246" s="125">
        <v>48</v>
      </c>
      <c r="AN246" s="371">
        <v>32.635199999999998</v>
      </c>
      <c r="AO246" s="154">
        <v>1060</v>
      </c>
      <c r="AP246" s="123" t="s">
        <v>322</v>
      </c>
      <c r="AQ246" s="27">
        <v>1110</v>
      </c>
      <c r="AR246" s="125">
        <v>48</v>
      </c>
      <c r="AS246" s="371">
        <v>32.635199999999998</v>
      </c>
    </row>
    <row r="247" spans="1:45" x14ac:dyDescent="0.25">
      <c r="A247" s="54" t="s">
        <v>327</v>
      </c>
      <c r="B247" s="175">
        <v>580</v>
      </c>
      <c r="C247" s="176">
        <v>10500</v>
      </c>
      <c r="D247" s="119">
        <v>50</v>
      </c>
      <c r="E247" s="120">
        <v>1.1000000000000001</v>
      </c>
      <c r="F247" s="120" t="s">
        <v>512</v>
      </c>
      <c r="G247" s="120">
        <v>27.521296779864965</v>
      </c>
      <c r="H247" s="121">
        <v>48</v>
      </c>
      <c r="I247" s="343">
        <v>23.099600000000002</v>
      </c>
      <c r="J247" s="121">
        <f t="shared" si="13"/>
        <v>170</v>
      </c>
      <c r="K247" s="125"/>
      <c r="L247" s="166"/>
      <c r="M247" s="166"/>
      <c r="N247" s="166"/>
      <c r="O247" s="166"/>
      <c r="P247" s="155"/>
      <c r="Q247" s="166"/>
      <c r="R247" s="166"/>
      <c r="S247" s="166"/>
      <c r="T247" s="166"/>
      <c r="U247" s="166"/>
      <c r="V247" s="166"/>
      <c r="W247" s="166"/>
      <c r="X247" s="166"/>
      <c r="Y247" s="166"/>
      <c r="Z247" s="166"/>
      <c r="AA247" s="166"/>
      <c r="AB247" s="166"/>
      <c r="AC247" s="166"/>
      <c r="AD247" s="166"/>
      <c r="AE247" s="166"/>
      <c r="AF247" s="166"/>
      <c r="AG247" s="166"/>
      <c r="AH247" s="166"/>
      <c r="AI247" s="166"/>
      <c r="AJ247" s="154">
        <v>1110</v>
      </c>
      <c r="AK247" s="59" t="s">
        <v>337</v>
      </c>
      <c r="AL247" s="27">
        <v>1130</v>
      </c>
      <c r="AM247" s="125">
        <v>48</v>
      </c>
      <c r="AN247" s="371">
        <v>32.101649999999999</v>
      </c>
      <c r="AO247" s="154">
        <v>1110</v>
      </c>
      <c r="AP247" s="59" t="s">
        <v>337</v>
      </c>
      <c r="AQ247" s="27">
        <v>1130</v>
      </c>
      <c r="AR247" s="125">
        <v>48</v>
      </c>
      <c r="AS247" s="371">
        <v>32.101649999999999</v>
      </c>
    </row>
    <row r="248" spans="1:45" x14ac:dyDescent="0.25">
      <c r="A248" s="192" t="s">
        <v>328</v>
      </c>
      <c r="B248" s="175">
        <v>623</v>
      </c>
      <c r="C248" s="176">
        <v>11300</v>
      </c>
      <c r="D248" s="119">
        <v>53.6</v>
      </c>
      <c r="E248" s="120">
        <v>1.18</v>
      </c>
      <c r="F248" s="120" t="s">
        <v>512</v>
      </c>
      <c r="G248" s="120">
        <v>27.652611489972568</v>
      </c>
      <c r="H248" s="121">
        <v>48</v>
      </c>
      <c r="I248" s="343">
        <v>24.628249999999998</v>
      </c>
      <c r="J248" s="121">
        <f t="shared" si="13"/>
        <v>182</v>
      </c>
      <c r="K248" s="125"/>
      <c r="L248" s="166"/>
      <c r="M248" s="166"/>
      <c r="N248" s="166"/>
      <c r="O248" s="166"/>
      <c r="P248" s="155"/>
      <c r="Q248" s="166"/>
      <c r="R248" s="166"/>
      <c r="S248" s="166"/>
      <c r="T248" s="166"/>
      <c r="U248" s="166"/>
      <c r="V248" s="166"/>
      <c r="W248" s="166"/>
      <c r="X248" s="166"/>
      <c r="Y248" s="166"/>
      <c r="Z248" s="166"/>
      <c r="AA248" s="166"/>
      <c r="AB248" s="166"/>
      <c r="AC248" s="166"/>
      <c r="AD248" s="166"/>
      <c r="AE248" s="166"/>
      <c r="AF248" s="166"/>
      <c r="AG248" s="166"/>
      <c r="AH248" s="166"/>
      <c r="AI248" s="166"/>
      <c r="AJ248" s="154">
        <v>1130</v>
      </c>
      <c r="AK248" s="159" t="s">
        <v>310</v>
      </c>
      <c r="AL248" s="160">
        <v>1140</v>
      </c>
      <c r="AM248" s="161">
        <v>48</v>
      </c>
      <c r="AN248" s="371">
        <v>35.091999999999999</v>
      </c>
      <c r="AO248" s="154">
        <v>1130</v>
      </c>
      <c r="AP248" s="159" t="s">
        <v>310</v>
      </c>
      <c r="AQ248" s="160">
        <v>1140</v>
      </c>
      <c r="AR248" s="161">
        <v>48</v>
      </c>
      <c r="AS248" s="371">
        <v>35.091999999999999</v>
      </c>
    </row>
    <row r="249" spans="1:45" x14ac:dyDescent="0.25">
      <c r="A249" s="192" t="s">
        <v>329</v>
      </c>
      <c r="B249" s="175">
        <v>664</v>
      </c>
      <c r="C249" s="176">
        <v>12100</v>
      </c>
      <c r="D249" s="119">
        <v>57</v>
      </c>
      <c r="E249" s="120">
        <v>1.26</v>
      </c>
      <c r="F249" s="120" t="s">
        <v>512</v>
      </c>
      <c r="G249" s="120">
        <v>27.742329187500367</v>
      </c>
      <c r="H249" s="121">
        <v>48</v>
      </c>
      <c r="I249" s="343">
        <v>25.98705</v>
      </c>
      <c r="J249" s="121">
        <f t="shared" si="13"/>
        <v>194</v>
      </c>
      <c r="K249" s="125"/>
      <c r="L249" s="166"/>
      <c r="M249" s="166"/>
      <c r="N249" s="166"/>
      <c r="O249" s="166"/>
      <c r="P249" s="155"/>
      <c r="Q249" s="166"/>
      <c r="R249" s="166"/>
      <c r="S249" s="166"/>
      <c r="T249" s="166"/>
      <c r="U249" s="166"/>
      <c r="V249" s="166"/>
      <c r="W249" s="166"/>
      <c r="X249" s="166"/>
      <c r="Y249" s="166"/>
      <c r="Z249" s="166"/>
      <c r="AA249" s="166"/>
      <c r="AB249" s="166"/>
      <c r="AC249" s="166"/>
      <c r="AD249" s="166"/>
      <c r="AE249" s="166"/>
      <c r="AF249" s="166"/>
      <c r="AG249" s="166"/>
      <c r="AH249" s="166"/>
      <c r="AI249" s="166"/>
      <c r="AJ249" s="154">
        <v>1140</v>
      </c>
      <c r="AK249" s="59" t="s">
        <v>205</v>
      </c>
      <c r="AL249" s="27">
        <v>1150</v>
      </c>
      <c r="AM249" s="125">
        <v>36</v>
      </c>
      <c r="AN249" s="371">
        <v>35.658000000000008</v>
      </c>
      <c r="AO249" s="154">
        <v>1140</v>
      </c>
      <c r="AP249" s="59" t="s">
        <v>205</v>
      </c>
      <c r="AQ249" s="27">
        <v>1150</v>
      </c>
      <c r="AR249" s="125">
        <v>36</v>
      </c>
      <c r="AS249" s="371">
        <v>35.658000000000008</v>
      </c>
    </row>
    <row r="250" spans="1:45" x14ac:dyDescent="0.25">
      <c r="A250" s="192" t="s">
        <v>330</v>
      </c>
      <c r="B250" s="175">
        <v>719</v>
      </c>
      <c r="C250" s="176">
        <v>13200</v>
      </c>
      <c r="D250" s="119">
        <v>61.8</v>
      </c>
      <c r="E250" s="120">
        <v>1.36</v>
      </c>
      <c r="F250" s="120" t="s">
        <v>512</v>
      </c>
      <c r="G250" s="120">
        <v>27.925806069989463</v>
      </c>
      <c r="H250" s="121">
        <v>48</v>
      </c>
      <c r="I250" s="343">
        <v>28.195099999999996</v>
      </c>
      <c r="J250" s="121">
        <f t="shared" si="13"/>
        <v>210</v>
      </c>
      <c r="K250" s="125"/>
      <c r="L250" s="166"/>
      <c r="M250" s="166"/>
      <c r="N250" s="166"/>
      <c r="O250" s="166"/>
      <c r="P250" s="155"/>
      <c r="Q250" s="166"/>
      <c r="R250" s="166"/>
      <c r="S250" s="166"/>
      <c r="T250" s="166"/>
      <c r="U250" s="166"/>
      <c r="V250" s="166"/>
      <c r="W250" s="166"/>
      <c r="X250" s="166"/>
      <c r="Y250" s="166"/>
      <c r="Z250" s="166"/>
      <c r="AA250" s="166"/>
      <c r="AB250" s="166"/>
      <c r="AC250" s="166"/>
      <c r="AD250" s="166"/>
      <c r="AE250" s="166"/>
      <c r="AF250" s="166"/>
      <c r="AG250" s="166"/>
      <c r="AH250" s="166"/>
      <c r="AI250" s="166"/>
      <c r="AJ250" s="154">
        <v>1150</v>
      </c>
      <c r="AK250" s="159" t="s">
        <v>276</v>
      </c>
      <c r="AL250" s="160">
        <v>1170</v>
      </c>
      <c r="AM250" s="161">
        <v>42</v>
      </c>
      <c r="AN250" s="371">
        <v>40.8155</v>
      </c>
      <c r="AO250" s="154">
        <v>1150</v>
      </c>
      <c r="AP250" s="159" t="s">
        <v>276</v>
      </c>
      <c r="AQ250" s="160">
        <v>1170</v>
      </c>
      <c r="AR250" s="161">
        <v>42</v>
      </c>
      <c r="AS250" s="371">
        <v>40.8155</v>
      </c>
    </row>
    <row r="251" spans="1:45" x14ac:dyDescent="0.25">
      <c r="A251" s="193" t="s">
        <v>331</v>
      </c>
      <c r="B251" s="194">
        <v>854</v>
      </c>
      <c r="C251" s="118">
        <v>15600</v>
      </c>
      <c r="D251" s="119">
        <v>68.099999999999994</v>
      </c>
      <c r="E251" s="120">
        <v>1.26</v>
      </c>
      <c r="F251" s="120" t="s">
        <v>512</v>
      </c>
      <c r="G251" s="120">
        <v>31.221304748048986</v>
      </c>
      <c r="H251" s="121">
        <v>48</v>
      </c>
      <c r="I251" s="343">
        <v>25.8172</v>
      </c>
      <c r="J251" s="121">
        <f t="shared" si="13"/>
        <v>231</v>
      </c>
      <c r="K251" s="125"/>
      <c r="L251" s="166"/>
      <c r="M251" s="166"/>
      <c r="N251" s="166"/>
      <c r="O251" s="166"/>
      <c r="P251" s="155"/>
      <c r="Q251" s="166"/>
      <c r="R251" s="166"/>
      <c r="S251" s="166"/>
      <c r="T251" s="166"/>
      <c r="U251" s="166"/>
      <c r="V251" s="166"/>
      <c r="W251" s="166"/>
      <c r="X251" s="166"/>
      <c r="Y251" s="166"/>
      <c r="Z251" s="166"/>
      <c r="AA251" s="166"/>
      <c r="AB251" s="166"/>
      <c r="AC251" s="166"/>
      <c r="AD251" s="166"/>
      <c r="AE251" s="166"/>
      <c r="AF251" s="166"/>
      <c r="AG251" s="166"/>
      <c r="AH251" s="166"/>
      <c r="AI251" s="166"/>
      <c r="AJ251" s="154">
        <v>1170</v>
      </c>
      <c r="AK251" s="159" t="s">
        <v>294</v>
      </c>
      <c r="AL251" s="160">
        <v>1170</v>
      </c>
      <c r="AM251" s="161">
        <v>42</v>
      </c>
      <c r="AN251" s="371">
        <v>38.653599999999997</v>
      </c>
      <c r="AO251" s="154">
        <v>1170</v>
      </c>
      <c r="AP251" s="159" t="s">
        <v>294</v>
      </c>
      <c r="AQ251" s="160">
        <v>1170</v>
      </c>
      <c r="AR251" s="161">
        <v>42</v>
      </c>
      <c r="AS251" s="371">
        <v>38.653599999999997</v>
      </c>
    </row>
    <row r="252" spans="1:45" x14ac:dyDescent="0.25">
      <c r="A252" s="195" t="s">
        <v>332</v>
      </c>
      <c r="B252" s="194">
        <v>809</v>
      </c>
      <c r="C252" s="176">
        <v>15000</v>
      </c>
      <c r="D252" s="119">
        <v>68.099999999999994</v>
      </c>
      <c r="E252" s="120">
        <v>1.57</v>
      </c>
      <c r="F252" s="120" t="s">
        <v>512</v>
      </c>
      <c r="G252" s="120">
        <v>27.890207059723025</v>
      </c>
      <c r="H252" s="121">
        <v>48</v>
      </c>
      <c r="I252" s="343">
        <v>29.562599999999996</v>
      </c>
      <c r="J252" s="121">
        <f t="shared" si="13"/>
        <v>232</v>
      </c>
      <c r="K252" s="125"/>
      <c r="L252" s="166"/>
      <c r="M252" s="166"/>
      <c r="N252" s="166"/>
      <c r="O252" s="166"/>
      <c r="P252" s="155"/>
      <c r="Q252" s="166"/>
      <c r="R252" s="166"/>
      <c r="S252" s="166"/>
      <c r="T252" s="166"/>
      <c r="U252" s="166"/>
      <c r="V252" s="166"/>
      <c r="W252" s="166"/>
      <c r="X252" s="166"/>
      <c r="Y252" s="166"/>
      <c r="Z252" s="166"/>
      <c r="AA252" s="166"/>
      <c r="AB252" s="166"/>
      <c r="AC252" s="166"/>
      <c r="AD252" s="166"/>
      <c r="AE252" s="166"/>
      <c r="AF252" s="166"/>
      <c r="AG252" s="166"/>
      <c r="AH252" s="166"/>
      <c r="AI252" s="166"/>
      <c r="AJ252" s="154">
        <v>1170</v>
      </c>
      <c r="AK252" s="167" t="s">
        <v>323</v>
      </c>
      <c r="AL252" s="160">
        <v>1230</v>
      </c>
      <c r="AM252" s="125">
        <v>48</v>
      </c>
      <c r="AN252" s="371">
        <v>36.389199999999995</v>
      </c>
      <c r="AO252" s="154">
        <v>1170</v>
      </c>
      <c r="AP252" s="167" t="s">
        <v>323</v>
      </c>
      <c r="AQ252" s="160">
        <v>1230</v>
      </c>
      <c r="AR252" s="125">
        <v>48</v>
      </c>
      <c r="AS252" s="371">
        <v>36.389199999999995</v>
      </c>
    </row>
    <row r="253" spans="1:45" x14ac:dyDescent="0.25">
      <c r="A253" s="193" t="s">
        <v>333</v>
      </c>
      <c r="B253" s="194">
        <v>913</v>
      </c>
      <c r="C253" s="118">
        <v>16700</v>
      </c>
      <c r="D253" s="119">
        <v>72.5</v>
      </c>
      <c r="E253" s="120">
        <v>1.35</v>
      </c>
      <c r="F253" s="120" t="s">
        <v>512</v>
      </c>
      <c r="G253" s="120">
        <v>31.31760403882064</v>
      </c>
      <c r="H253" s="121">
        <v>48</v>
      </c>
      <c r="I253" s="343">
        <v>27.176000000000002</v>
      </c>
      <c r="J253" s="121">
        <f t="shared" si="13"/>
        <v>247</v>
      </c>
      <c r="K253" s="125"/>
      <c r="L253" s="166"/>
      <c r="M253" s="166"/>
      <c r="N253" s="166"/>
      <c r="O253" s="166"/>
      <c r="P253" s="155"/>
      <c r="Q253" s="166"/>
      <c r="R253" s="166"/>
      <c r="S253" s="166"/>
      <c r="T253" s="166"/>
      <c r="U253" s="166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/>
      <c r="AF253" s="166"/>
      <c r="AG253" s="166"/>
      <c r="AH253" s="166"/>
      <c r="AI253" s="166"/>
      <c r="AJ253" s="154">
        <v>1230</v>
      </c>
      <c r="AK253" s="61" t="s">
        <v>338</v>
      </c>
      <c r="AL253" s="160">
        <v>1240</v>
      </c>
      <c r="AM253" s="125">
        <v>48</v>
      </c>
      <c r="AN253" s="371">
        <v>34.6494</v>
      </c>
      <c r="AO253" s="154">
        <v>1230</v>
      </c>
      <c r="AP253" s="61" t="s">
        <v>338</v>
      </c>
      <c r="AQ253" s="160">
        <v>1240</v>
      </c>
      <c r="AR253" s="125">
        <v>48</v>
      </c>
      <c r="AS253" s="371">
        <v>34.6494</v>
      </c>
    </row>
    <row r="254" spans="1:45" x14ac:dyDescent="0.25">
      <c r="A254" s="55" t="s">
        <v>334</v>
      </c>
      <c r="B254" s="194">
        <v>895</v>
      </c>
      <c r="C254" s="176">
        <v>16800</v>
      </c>
      <c r="D254" s="179">
        <v>75.400000000000006</v>
      </c>
      <c r="E254" s="177">
        <v>1.73</v>
      </c>
      <c r="F254" s="120" t="s">
        <v>512</v>
      </c>
      <c r="G254" s="177">
        <v>28.165245608336544</v>
      </c>
      <c r="H254" s="178">
        <v>48</v>
      </c>
      <c r="I254" s="347">
        <v>32.611199999999997</v>
      </c>
      <c r="J254" s="178">
        <f t="shared" si="13"/>
        <v>256</v>
      </c>
      <c r="K254" s="201"/>
      <c r="L254" s="166"/>
      <c r="M254" s="166"/>
      <c r="N254" s="166"/>
      <c r="O254" s="166"/>
      <c r="P254" s="155"/>
      <c r="Q254" s="166"/>
      <c r="R254" s="166"/>
      <c r="S254" s="166"/>
      <c r="T254" s="166"/>
      <c r="U254" s="166"/>
      <c r="V254" s="166"/>
      <c r="W254" s="166"/>
      <c r="X254" s="166"/>
      <c r="Y254" s="166"/>
      <c r="Z254" s="166"/>
      <c r="AA254" s="166"/>
      <c r="AB254" s="166"/>
      <c r="AC254" s="166"/>
      <c r="AD254" s="166"/>
      <c r="AE254" s="166"/>
      <c r="AF254" s="166"/>
      <c r="AG254" s="166"/>
      <c r="AH254" s="166"/>
      <c r="AI254" s="166"/>
      <c r="AJ254" s="154">
        <v>1240</v>
      </c>
      <c r="AK254" s="159" t="s">
        <v>311</v>
      </c>
      <c r="AL254" s="160">
        <v>1250</v>
      </c>
      <c r="AM254" s="161">
        <v>48</v>
      </c>
      <c r="AN254" s="371">
        <v>38.501600000000003</v>
      </c>
      <c r="AO254" s="154">
        <v>1240</v>
      </c>
      <c r="AP254" s="159" t="s">
        <v>311</v>
      </c>
      <c r="AQ254" s="160">
        <v>1250</v>
      </c>
      <c r="AR254" s="161">
        <v>48</v>
      </c>
      <c r="AS254" s="371">
        <v>38.501600000000003</v>
      </c>
    </row>
    <row r="255" spans="1:45" x14ac:dyDescent="0.25">
      <c r="A255" s="116" t="s">
        <v>335</v>
      </c>
      <c r="B255" s="117">
        <v>972</v>
      </c>
      <c r="C255" s="118">
        <v>17900</v>
      </c>
      <c r="D255" s="119">
        <v>77</v>
      </c>
      <c r="E255" s="120">
        <v>1.44</v>
      </c>
      <c r="F255" s="120" t="s">
        <v>512</v>
      </c>
      <c r="G255" s="120">
        <v>31.417465965574031</v>
      </c>
      <c r="H255" s="121">
        <v>48</v>
      </c>
      <c r="I255" s="343">
        <v>28.534799999999997</v>
      </c>
      <c r="J255" s="121">
        <f t="shared" si="13"/>
        <v>262</v>
      </c>
      <c r="N255" s="166"/>
      <c r="O255" s="166"/>
      <c r="P255" s="155"/>
      <c r="Q255" s="166"/>
      <c r="R255" s="166"/>
      <c r="S255" s="166"/>
      <c r="T255" s="166"/>
      <c r="U255" s="166"/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/>
      <c r="AF255" s="166"/>
      <c r="AG255" s="166"/>
      <c r="AH255" s="166"/>
      <c r="AI255" s="166"/>
      <c r="AJ255" s="154">
        <v>1250</v>
      </c>
      <c r="AK255" s="59" t="s">
        <v>206</v>
      </c>
      <c r="AL255" s="27">
        <v>1280</v>
      </c>
      <c r="AM255" s="125">
        <v>36</v>
      </c>
      <c r="AN255" s="371">
        <v>38.682000000000002</v>
      </c>
      <c r="AO255" s="154">
        <v>1250</v>
      </c>
      <c r="AP255" s="59" t="s">
        <v>206</v>
      </c>
      <c r="AQ255" s="27">
        <v>1280</v>
      </c>
      <c r="AR255" s="125">
        <v>36</v>
      </c>
      <c r="AS255" s="371">
        <v>38.682000000000002</v>
      </c>
    </row>
    <row r="256" spans="1:45" x14ac:dyDescent="0.25">
      <c r="A256" s="51" t="s">
        <v>336</v>
      </c>
      <c r="B256" s="117">
        <v>1050</v>
      </c>
      <c r="C256" s="118">
        <v>19600</v>
      </c>
      <c r="D256" s="119">
        <v>82.9</v>
      </c>
      <c r="E256" s="120">
        <v>1.57</v>
      </c>
      <c r="F256" s="120" t="s">
        <v>512</v>
      </c>
      <c r="G256" s="120">
        <v>31.466216612083361</v>
      </c>
      <c r="H256" s="121">
        <v>48</v>
      </c>
      <c r="I256" s="343">
        <v>30.06345</v>
      </c>
      <c r="J256" s="121">
        <f t="shared" si="13"/>
        <v>282</v>
      </c>
      <c r="N256" s="166"/>
      <c r="O256" s="166"/>
      <c r="P256" s="155"/>
      <c r="Q256" s="166"/>
      <c r="R256" s="166"/>
      <c r="S256" s="166"/>
      <c r="T256" s="166"/>
      <c r="U256" s="166"/>
      <c r="V256" s="166"/>
      <c r="W256" s="166"/>
      <c r="X256" s="166"/>
      <c r="Y256" s="166"/>
      <c r="Z256" s="166"/>
      <c r="AA256" s="166"/>
      <c r="AB256" s="166"/>
      <c r="AC256" s="166"/>
      <c r="AD256" s="166"/>
      <c r="AE256" s="166"/>
      <c r="AF256" s="166"/>
      <c r="AG256" s="166"/>
      <c r="AH256" s="166"/>
      <c r="AI256" s="166"/>
      <c r="AJ256" s="154">
        <v>1280</v>
      </c>
      <c r="AK256" s="159" t="s">
        <v>277</v>
      </c>
      <c r="AL256" s="160">
        <v>1290</v>
      </c>
      <c r="AM256" s="161">
        <v>42</v>
      </c>
      <c r="AN256" s="371">
        <v>44.462899999999998</v>
      </c>
      <c r="AO256" s="154">
        <v>1280</v>
      </c>
      <c r="AP256" s="159" t="s">
        <v>277</v>
      </c>
      <c r="AQ256" s="160">
        <v>1290</v>
      </c>
      <c r="AR256" s="161">
        <v>42</v>
      </c>
      <c r="AS256" s="371">
        <v>44.462899999999998</v>
      </c>
    </row>
    <row r="257" spans="1:45" x14ac:dyDescent="0.25">
      <c r="A257" s="51" t="s">
        <v>337</v>
      </c>
      <c r="B257" s="117">
        <v>1130</v>
      </c>
      <c r="C257" s="118">
        <v>21100</v>
      </c>
      <c r="D257" s="119">
        <v>88.8</v>
      </c>
      <c r="E257" s="120">
        <v>1.68</v>
      </c>
      <c r="F257" s="120" t="s">
        <v>512</v>
      </c>
      <c r="G257" s="120">
        <v>31.705023066982704</v>
      </c>
      <c r="H257" s="121">
        <v>48</v>
      </c>
      <c r="I257" s="343">
        <v>32.101649999999999</v>
      </c>
      <c r="J257" s="121">
        <f t="shared" si="13"/>
        <v>302</v>
      </c>
      <c r="N257" s="166"/>
      <c r="O257" s="166"/>
      <c r="P257" s="155"/>
      <c r="Q257" s="166"/>
      <c r="R257" s="166"/>
      <c r="S257" s="166"/>
      <c r="T257" s="166"/>
      <c r="U257" s="166"/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/>
      <c r="AF257" s="166"/>
      <c r="AG257" s="166"/>
      <c r="AH257" s="166"/>
      <c r="AI257" s="166"/>
      <c r="AJ257" s="154">
        <v>1290</v>
      </c>
      <c r="AK257" s="159" t="s">
        <v>295</v>
      </c>
      <c r="AL257" s="160">
        <v>1300</v>
      </c>
      <c r="AM257" s="161">
        <v>42</v>
      </c>
      <c r="AN257" s="371">
        <v>41.975999999999999</v>
      </c>
      <c r="AO257" s="154">
        <v>1290</v>
      </c>
      <c r="AP257" s="159" t="s">
        <v>295</v>
      </c>
      <c r="AQ257" s="160">
        <v>1300</v>
      </c>
      <c r="AR257" s="161">
        <v>42</v>
      </c>
      <c r="AS257" s="371">
        <v>41.975999999999999</v>
      </c>
    </row>
    <row r="258" spans="1:45" x14ac:dyDescent="0.25">
      <c r="A258" s="54" t="s">
        <v>338</v>
      </c>
      <c r="B258" s="175">
        <v>1240</v>
      </c>
      <c r="C258" s="118">
        <v>23300</v>
      </c>
      <c r="D258" s="179">
        <v>97</v>
      </c>
      <c r="E258" s="120">
        <v>1.85</v>
      </c>
      <c r="F258" s="120" t="s">
        <v>512</v>
      </c>
      <c r="G258" s="120">
        <v>31.892388736149044</v>
      </c>
      <c r="H258" s="121">
        <v>48</v>
      </c>
      <c r="I258" s="343">
        <v>34.6494</v>
      </c>
      <c r="J258" s="121">
        <f t="shared" si="13"/>
        <v>330</v>
      </c>
      <c r="N258" s="166"/>
      <c r="O258" s="166"/>
      <c r="P258" s="155"/>
      <c r="Q258" s="166"/>
      <c r="R258" s="166"/>
      <c r="S258" s="166"/>
      <c r="T258" s="166"/>
      <c r="U258" s="166"/>
      <c r="V258" s="166"/>
      <c r="W258" s="166"/>
      <c r="X258" s="166"/>
      <c r="Y258" s="166"/>
      <c r="Z258" s="166"/>
      <c r="AA258" s="166"/>
      <c r="AB258" s="166"/>
      <c r="AC258" s="166"/>
      <c r="AD258" s="166"/>
      <c r="AE258" s="166"/>
      <c r="AF258" s="166"/>
      <c r="AG258" s="166"/>
      <c r="AH258" s="166"/>
      <c r="AI258" s="166"/>
      <c r="AJ258" s="154">
        <v>1300</v>
      </c>
      <c r="AK258" s="167" t="s">
        <v>339</v>
      </c>
      <c r="AL258" s="160">
        <v>1350</v>
      </c>
      <c r="AM258" s="125">
        <v>48</v>
      </c>
      <c r="AN258" s="371">
        <v>38.046400000000006</v>
      </c>
      <c r="AO258" s="154">
        <v>1300</v>
      </c>
      <c r="AP258" s="167" t="s">
        <v>339</v>
      </c>
      <c r="AQ258" s="160">
        <v>1350</v>
      </c>
      <c r="AR258" s="125">
        <v>48</v>
      </c>
      <c r="AS258" s="371">
        <v>38.046400000000006</v>
      </c>
    </row>
    <row r="259" spans="1:45" x14ac:dyDescent="0.25">
      <c r="A259" s="192" t="s">
        <v>339</v>
      </c>
      <c r="B259" s="175">
        <v>1350</v>
      </c>
      <c r="C259" s="118">
        <v>25700</v>
      </c>
      <c r="D259" s="179">
        <v>106</v>
      </c>
      <c r="E259" s="120">
        <v>2.0099999999999998</v>
      </c>
      <c r="F259" s="120" t="s">
        <v>512</v>
      </c>
      <c r="G259" s="120">
        <v>32.145664022394179</v>
      </c>
      <c r="H259" s="121">
        <v>48</v>
      </c>
      <c r="I259" s="343">
        <v>38.046400000000006</v>
      </c>
      <c r="J259" s="121">
        <f t="shared" si="13"/>
        <v>361</v>
      </c>
      <c r="N259" s="166"/>
      <c r="O259" s="166"/>
      <c r="P259" s="155"/>
      <c r="Q259" s="166"/>
      <c r="R259" s="166"/>
      <c r="S259" s="166"/>
      <c r="T259" s="166"/>
      <c r="U259" s="166"/>
      <c r="V259" s="166"/>
      <c r="W259" s="166"/>
      <c r="X259" s="166"/>
      <c r="Y259" s="166"/>
      <c r="Z259" s="166"/>
      <c r="AA259" s="166"/>
      <c r="AB259" s="166"/>
      <c r="AC259" s="166"/>
      <c r="AD259" s="166"/>
      <c r="AE259" s="166"/>
      <c r="AF259" s="166"/>
      <c r="AG259" s="166"/>
      <c r="AH259" s="166"/>
      <c r="AI259" s="166"/>
      <c r="AJ259" s="154">
        <v>1350</v>
      </c>
      <c r="AK259" s="196" t="s">
        <v>340</v>
      </c>
      <c r="AL259" s="197">
        <v>1490</v>
      </c>
      <c r="AM259" s="379">
        <v>48</v>
      </c>
      <c r="AN259" s="373">
        <v>41.492199999999997</v>
      </c>
      <c r="AO259" s="154">
        <v>1350</v>
      </c>
      <c r="AP259" s="196" t="s">
        <v>340</v>
      </c>
      <c r="AQ259" s="197">
        <v>1490</v>
      </c>
      <c r="AR259" s="379">
        <v>48</v>
      </c>
      <c r="AS259" s="373">
        <v>41.492199999999997</v>
      </c>
    </row>
    <row r="260" spans="1:45" ht="15.75" thickBot="1" x14ac:dyDescent="0.3">
      <c r="A260" s="192" t="s">
        <v>340</v>
      </c>
      <c r="B260" s="175">
        <v>1490</v>
      </c>
      <c r="C260" s="176">
        <v>28500</v>
      </c>
      <c r="D260" s="119">
        <v>116</v>
      </c>
      <c r="E260" s="120">
        <v>2.2000000000000002</v>
      </c>
      <c r="F260" s="120" t="s">
        <v>512</v>
      </c>
      <c r="G260" s="120">
        <v>32.532075920131334</v>
      </c>
      <c r="H260" s="121">
        <v>48</v>
      </c>
      <c r="I260" s="343">
        <v>41.492199999999997</v>
      </c>
      <c r="J260" s="121">
        <f t="shared" si="13"/>
        <v>395</v>
      </c>
      <c r="N260" s="166"/>
      <c r="O260" s="166"/>
      <c r="P260" s="155"/>
      <c r="Q260" s="166"/>
      <c r="R260" s="166"/>
      <c r="S260" s="166"/>
      <c r="T260" s="166"/>
      <c r="U260" s="155"/>
      <c r="V260" s="166"/>
      <c r="W260" s="166"/>
      <c r="X260" s="166"/>
      <c r="Y260" s="166"/>
      <c r="Z260" s="155"/>
      <c r="AA260" s="166"/>
      <c r="AB260" s="166"/>
      <c r="AC260" s="166"/>
      <c r="AD260" s="166"/>
      <c r="AE260" s="155"/>
      <c r="AF260" s="166"/>
      <c r="AG260" s="166"/>
      <c r="AH260" s="166"/>
      <c r="AI260" s="166"/>
      <c r="AJ260" s="165">
        <v>3040</v>
      </c>
      <c r="AK260" s="165" t="s">
        <v>353</v>
      </c>
      <c r="AL260" s="153"/>
      <c r="AM260" s="151"/>
      <c r="AN260" s="198"/>
      <c r="AO260" s="154">
        <v>1490</v>
      </c>
      <c r="AP260" s="65" t="s">
        <v>341</v>
      </c>
      <c r="AQ260" s="199">
        <v>1650</v>
      </c>
      <c r="AR260" s="381">
        <v>54</v>
      </c>
      <c r="AS260" s="384">
        <v>46.199200000000005</v>
      </c>
    </row>
    <row r="261" spans="1:45" x14ac:dyDescent="0.25">
      <c r="A261" s="54" t="s">
        <v>341</v>
      </c>
      <c r="B261" s="175">
        <v>1650</v>
      </c>
      <c r="C261" s="176">
        <v>32100</v>
      </c>
      <c r="D261" s="119">
        <v>130</v>
      </c>
      <c r="E261" s="120">
        <v>2.44</v>
      </c>
      <c r="F261" s="120" t="s">
        <v>512</v>
      </c>
      <c r="G261" s="120">
        <v>32.839906428171851</v>
      </c>
      <c r="H261" s="121">
        <v>54</v>
      </c>
      <c r="I261" s="343">
        <v>46.199200000000005</v>
      </c>
      <c r="J261" s="121">
        <f t="shared" si="13"/>
        <v>441</v>
      </c>
      <c r="N261" s="166"/>
      <c r="O261" s="166"/>
      <c r="P261" s="155"/>
      <c r="Q261" s="166"/>
      <c r="R261" s="166"/>
      <c r="S261" s="166"/>
      <c r="T261" s="166"/>
      <c r="U261" s="155"/>
      <c r="V261" s="166"/>
      <c r="W261" s="166"/>
      <c r="X261" s="166"/>
      <c r="Y261" s="166"/>
      <c r="Z261" s="155"/>
      <c r="AA261" s="166"/>
      <c r="AB261" s="166"/>
      <c r="AC261" s="166"/>
      <c r="AD261" s="166"/>
      <c r="AE261" s="155"/>
      <c r="AF261" s="166"/>
      <c r="AG261" s="166"/>
      <c r="AH261" s="166"/>
      <c r="AI261" s="166"/>
      <c r="AJ261" s="155"/>
      <c r="AK261" s="166"/>
      <c r="AL261" s="166"/>
      <c r="AM261" s="125"/>
      <c r="AN261" s="125"/>
      <c r="AO261" s="154">
        <v>1650</v>
      </c>
      <c r="AP261" s="61" t="s">
        <v>342</v>
      </c>
      <c r="AQ261" s="160">
        <v>1830</v>
      </c>
      <c r="AR261" s="125">
        <v>54</v>
      </c>
      <c r="AS261" s="371">
        <v>50.954999999999998</v>
      </c>
    </row>
    <row r="262" spans="1:45" x14ac:dyDescent="0.25">
      <c r="A262" s="54" t="s">
        <v>342</v>
      </c>
      <c r="B262" s="175">
        <v>1830</v>
      </c>
      <c r="C262" s="176">
        <v>36000</v>
      </c>
      <c r="D262" s="119">
        <v>143</v>
      </c>
      <c r="E262" s="120">
        <v>2.68</v>
      </c>
      <c r="F262" s="120" t="s">
        <v>512</v>
      </c>
      <c r="G262" s="120">
        <v>33.311613759818528</v>
      </c>
      <c r="H262" s="121">
        <v>54</v>
      </c>
      <c r="I262" s="343">
        <v>50.954999999999998</v>
      </c>
      <c r="J262" s="121">
        <f t="shared" si="13"/>
        <v>487</v>
      </c>
      <c r="N262" s="166"/>
      <c r="O262" s="166"/>
      <c r="P262" s="155"/>
      <c r="Q262" s="166"/>
      <c r="R262" s="166"/>
      <c r="S262" s="166"/>
      <c r="T262" s="166"/>
      <c r="U262" s="155"/>
      <c r="V262" s="166"/>
      <c r="W262" s="166"/>
      <c r="X262" s="166"/>
      <c r="Y262" s="166"/>
      <c r="Z262" s="155"/>
      <c r="AA262" s="166"/>
      <c r="AB262" s="166"/>
      <c r="AC262" s="166"/>
      <c r="AD262" s="166"/>
      <c r="AE262" s="155"/>
      <c r="AF262" s="166"/>
      <c r="AG262" s="166"/>
      <c r="AH262" s="166"/>
      <c r="AI262" s="166"/>
      <c r="AJ262" s="155"/>
      <c r="AK262" s="166"/>
      <c r="AL262" s="166"/>
      <c r="AM262" s="125"/>
      <c r="AN262" s="125"/>
      <c r="AO262" s="154">
        <v>1830</v>
      </c>
      <c r="AP262" s="167" t="s">
        <v>343</v>
      </c>
      <c r="AQ262" s="160">
        <v>1990</v>
      </c>
      <c r="AR262" s="125">
        <v>54</v>
      </c>
      <c r="AS262" s="371">
        <v>54.691700000000004</v>
      </c>
    </row>
    <row r="263" spans="1:45" x14ac:dyDescent="0.25">
      <c r="A263" s="192" t="s">
        <v>343</v>
      </c>
      <c r="B263" s="175">
        <v>1990</v>
      </c>
      <c r="C263" s="176">
        <v>39600</v>
      </c>
      <c r="D263" s="119">
        <v>156</v>
      </c>
      <c r="E263" s="120">
        <v>2.91</v>
      </c>
      <c r="F263" s="120" t="s">
        <v>512</v>
      </c>
      <c r="G263" s="120">
        <v>33.645494632521768</v>
      </c>
      <c r="H263" s="121">
        <v>54</v>
      </c>
      <c r="I263" s="343">
        <v>54.691700000000004</v>
      </c>
      <c r="J263" s="121">
        <f t="shared" ref="J263:J265" si="14">VALUE(RIGHT(A263,3))</f>
        <v>529</v>
      </c>
      <c r="N263" s="166"/>
      <c r="O263" s="166"/>
      <c r="P263" s="155"/>
      <c r="Q263" s="166"/>
      <c r="R263" s="166"/>
      <c r="S263" s="166"/>
      <c r="T263" s="166"/>
      <c r="U263" s="155"/>
      <c r="V263" s="166"/>
      <c r="W263" s="166"/>
      <c r="X263" s="166"/>
      <c r="Y263" s="166"/>
      <c r="Z263" s="155"/>
      <c r="AA263" s="166"/>
      <c r="AB263" s="166"/>
      <c r="AC263" s="166"/>
      <c r="AD263" s="166"/>
      <c r="AE263" s="155"/>
      <c r="AF263" s="166"/>
      <c r="AG263" s="166"/>
      <c r="AH263" s="166"/>
      <c r="AI263" s="166"/>
      <c r="AJ263" s="155"/>
      <c r="AK263" s="166"/>
      <c r="AL263" s="166"/>
      <c r="AM263" s="125"/>
      <c r="AN263" s="125"/>
      <c r="AO263" s="154">
        <v>1990</v>
      </c>
      <c r="AP263" s="167" t="s">
        <v>344</v>
      </c>
      <c r="AQ263" s="160">
        <v>2460</v>
      </c>
      <c r="AR263" s="125">
        <v>54</v>
      </c>
      <c r="AS263" s="371">
        <v>66.920900000000003</v>
      </c>
    </row>
    <row r="264" spans="1:45" ht="15.75" thickBot="1" x14ac:dyDescent="0.3">
      <c r="A264" s="192" t="s">
        <v>344</v>
      </c>
      <c r="B264" s="175">
        <v>2460</v>
      </c>
      <c r="C264" s="176">
        <v>50600</v>
      </c>
      <c r="D264" s="119">
        <v>192</v>
      </c>
      <c r="E264" s="120">
        <v>3.54</v>
      </c>
      <c r="F264" s="120" t="s">
        <v>512</v>
      </c>
      <c r="G264" s="120">
        <v>34.727956498284819</v>
      </c>
      <c r="H264" s="121">
        <v>54</v>
      </c>
      <c r="I264" s="343">
        <v>66.920900000000003</v>
      </c>
      <c r="J264" s="121">
        <f t="shared" si="14"/>
        <v>652</v>
      </c>
      <c r="N264" s="166"/>
      <c r="O264" s="166"/>
      <c r="P264" s="155"/>
      <c r="Q264" s="166"/>
      <c r="R264" s="166"/>
      <c r="S264" s="166"/>
      <c r="T264" s="166"/>
      <c r="U264" s="155"/>
      <c r="V264" s="166"/>
      <c r="W264" s="166"/>
      <c r="X264" s="166"/>
      <c r="Y264" s="166"/>
      <c r="Z264" s="155"/>
      <c r="AA264" s="166"/>
      <c r="AB264" s="166"/>
      <c r="AC264" s="166"/>
      <c r="AD264" s="166"/>
      <c r="AE264" s="155"/>
      <c r="AF264" s="166"/>
      <c r="AG264" s="166"/>
      <c r="AH264" s="166"/>
      <c r="AI264" s="166"/>
      <c r="AJ264" s="155"/>
      <c r="AK264" s="166"/>
      <c r="AL264" s="166"/>
      <c r="AM264" s="125"/>
      <c r="AN264" s="125"/>
      <c r="AO264" s="154">
        <v>2460</v>
      </c>
      <c r="AP264" s="188" t="s">
        <v>345</v>
      </c>
      <c r="AQ264" s="202">
        <v>3040</v>
      </c>
      <c r="AR264" s="150">
        <v>54</v>
      </c>
      <c r="AS264" s="385">
        <v>80.84859999999999</v>
      </c>
    </row>
    <row r="265" spans="1:45" ht="15.75" thickBot="1" x14ac:dyDescent="0.3">
      <c r="A265" s="190" t="s">
        <v>345</v>
      </c>
      <c r="B265" s="181">
        <v>3040</v>
      </c>
      <c r="C265" s="182">
        <v>64700</v>
      </c>
      <c r="D265" s="132">
        <v>236</v>
      </c>
      <c r="E265" s="133">
        <v>4.29</v>
      </c>
      <c r="F265" s="133" t="s">
        <v>512</v>
      </c>
      <c r="G265" s="133">
        <v>36.005683697893261</v>
      </c>
      <c r="H265" s="134">
        <v>54</v>
      </c>
      <c r="I265" s="344">
        <v>80.84859999999999</v>
      </c>
      <c r="J265" s="134">
        <f t="shared" si="14"/>
        <v>800</v>
      </c>
      <c r="N265" s="166"/>
      <c r="O265" s="166"/>
      <c r="P265" s="155"/>
      <c r="Q265" s="166"/>
      <c r="R265" s="166"/>
      <c r="S265" s="166"/>
      <c r="T265" s="166"/>
      <c r="U265" s="155"/>
      <c r="V265" s="166"/>
      <c r="W265" s="166"/>
      <c r="X265" s="166"/>
      <c r="Y265" s="166"/>
      <c r="Z265" s="155"/>
      <c r="AA265" s="166"/>
      <c r="AB265" s="166"/>
      <c r="AC265" s="166"/>
      <c r="AD265" s="166"/>
      <c r="AE265" s="155"/>
      <c r="AF265" s="166"/>
      <c r="AG265" s="166"/>
      <c r="AH265" s="166"/>
      <c r="AI265" s="166"/>
      <c r="AJ265" s="155"/>
      <c r="AK265" s="166"/>
      <c r="AL265" s="166"/>
      <c r="AM265" s="125"/>
      <c r="AN265" s="125"/>
      <c r="AO265" s="165">
        <v>3040</v>
      </c>
      <c r="AP265" s="165" t="s">
        <v>353</v>
      </c>
      <c r="AQ265" s="153"/>
      <c r="AR265" s="151"/>
      <c r="AS265" s="198"/>
    </row>
    <row r="266" spans="1:45" ht="15.75" thickBot="1" x14ac:dyDescent="0.3">
      <c r="A266" s="155"/>
      <c r="B266" s="155"/>
      <c r="C266" s="201"/>
      <c r="D266" s="201"/>
      <c r="E266" s="201"/>
      <c r="F266" s="201"/>
      <c r="G266" s="201"/>
      <c r="H266" s="201"/>
      <c r="I266" s="349"/>
      <c r="J266" s="201"/>
    </row>
    <row r="267" spans="1:45" x14ac:dyDescent="0.25">
      <c r="K267" s="75"/>
      <c r="L267" s="66" t="s">
        <v>347</v>
      </c>
      <c r="M267" s="67"/>
      <c r="N267" s="67"/>
      <c r="O267" s="70"/>
      <c r="P267" s="81"/>
      <c r="Q267" s="66" t="s">
        <v>348</v>
      </c>
      <c r="R267" s="67"/>
      <c r="S267" s="67"/>
      <c r="T267" s="70"/>
      <c r="U267" s="81"/>
      <c r="V267" s="66" t="s">
        <v>349</v>
      </c>
      <c r="W267" s="67"/>
      <c r="X267" s="67"/>
      <c r="Y267" s="70"/>
      <c r="Z267" s="81"/>
      <c r="AA267" s="66" t="s">
        <v>350</v>
      </c>
      <c r="AB267" s="67"/>
      <c r="AC267" s="67"/>
      <c r="AD267" s="70"/>
      <c r="AE267" s="81"/>
      <c r="AF267" s="66" t="s">
        <v>351</v>
      </c>
      <c r="AG267" s="67"/>
      <c r="AH267" s="67"/>
      <c r="AI267" s="70"/>
      <c r="AJ267" s="81"/>
      <c r="AK267" s="66" t="s">
        <v>352</v>
      </c>
      <c r="AL267" s="67"/>
      <c r="AM267" s="74"/>
      <c r="AN267" s="68"/>
      <c r="AO267" s="81"/>
      <c r="AP267" s="66" t="s">
        <v>354</v>
      </c>
      <c r="AQ267" s="67"/>
      <c r="AR267" s="74"/>
      <c r="AS267" s="68"/>
    </row>
    <row r="268" spans="1:45" ht="15.75" thickBot="1" x14ac:dyDescent="0.3">
      <c r="K268" s="76"/>
      <c r="L268" s="62"/>
      <c r="M268" s="69"/>
      <c r="N268" s="69"/>
      <c r="O268" s="71"/>
      <c r="P268" s="77"/>
      <c r="Q268" s="62"/>
      <c r="R268" s="69"/>
      <c r="S268" s="69"/>
      <c r="T268" s="71"/>
      <c r="U268" s="77"/>
      <c r="V268" s="62"/>
      <c r="W268" s="69"/>
      <c r="X268" s="69"/>
      <c r="Y268" s="71"/>
      <c r="Z268" s="77"/>
      <c r="AA268" s="62"/>
      <c r="AB268" s="69"/>
      <c r="AC268" s="69"/>
      <c r="AD268" s="71"/>
      <c r="AE268" s="77"/>
      <c r="AF268" s="62"/>
      <c r="AG268" s="69"/>
      <c r="AH268" s="69"/>
      <c r="AI268" s="71"/>
      <c r="AJ268" s="77"/>
      <c r="AK268" s="62"/>
      <c r="AL268" s="69"/>
      <c r="AM268" s="73"/>
      <c r="AN268" s="63"/>
      <c r="AO268" s="77"/>
      <c r="AP268" s="62"/>
      <c r="AQ268" s="69"/>
      <c r="AR268" s="73"/>
      <c r="AS268" s="63"/>
    </row>
    <row r="269" spans="1:45" x14ac:dyDescent="0.25">
      <c r="K269" s="78"/>
      <c r="L269" s="49" t="s">
        <v>86</v>
      </c>
      <c r="M269" s="386" t="s">
        <v>83</v>
      </c>
      <c r="N269" s="386" t="s">
        <v>24</v>
      </c>
      <c r="O269" s="58" t="s">
        <v>432</v>
      </c>
      <c r="P269" s="78"/>
      <c r="Q269" s="49" t="s">
        <v>86</v>
      </c>
      <c r="R269" s="386" t="s">
        <v>83</v>
      </c>
      <c r="S269" s="386" t="s">
        <v>24</v>
      </c>
      <c r="T269" s="58" t="s">
        <v>432</v>
      </c>
      <c r="U269" s="78"/>
      <c r="V269" s="49" t="s">
        <v>86</v>
      </c>
      <c r="W269" s="386" t="s">
        <v>83</v>
      </c>
      <c r="X269" s="386" t="s">
        <v>24</v>
      </c>
      <c r="Y269" s="58" t="s">
        <v>432</v>
      </c>
      <c r="Z269" s="78"/>
      <c r="AA269" s="49" t="s">
        <v>86</v>
      </c>
      <c r="AB269" s="386" t="s">
        <v>83</v>
      </c>
      <c r="AC269" s="386" t="s">
        <v>24</v>
      </c>
      <c r="AD269" s="58" t="s">
        <v>432</v>
      </c>
      <c r="AE269" s="78"/>
      <c r="AF269" s="49" t="s">
        <v>86</v>
      </c>
      <c r="AG269" s="386" t="s">
        <v>83</v>
      </c>
      <c r="AH269" s="386" t="s">
        <v>24</v>
      </c>
      <c r="AI269" s="58" t="s">
        <v>432</v>
      </c>
      <c r="AJ269" s="78"/>
      <c r="AK269" s="49" t="s">
        <v>86</v>
      </c>
      <c r="AL269" s="386" t="s">
        <v>83</v>
      </c>
      <c r="AM269" s="386" t="s">
        <v>24</v>
      </c>
      <c r="AN269" s="58" t="s">
        <v>432</v>
      </c>
      <c r="AO269" s="78"/>
      <c r="AP269" s="49" t="s">
        <v>86</v>
      </c>
      <c r="AQ269" s="386" t="s">
        <v>83</v>
      </c>
      <c r="AR269" s="386" t="s">
        <v>24</v>
      </c>
      <c r="AS269" s="58" t="s">
        <v>432</v>
      </c>
    </row>
    <row r="270" spans="1:45" ht="15.75" thickBot="1" x14ac:dyDescent="0.3">
      <c r="K270" s="79"/>
      <c r="L270" s="50" t="s">
        <v>8</v>
      </c>
      <c r="M270" s="387" t="s">
        <v>84</v>
      </c>
      <c r="N270" s="387" t="s">
        <v>3</v>
      </c>
      <c r="O270" s="64" t="s">
        <v>12</v>
      </c>
      <c r="P270" s="79"/>
      <c r="Q270" s="50" t="s">
        <v>8</v>
      </c>
      <c r="R270" s="387" t="s">
        <v>84</v>
      </c>
      <c r="S270" s="387" t="s">
        <v>3</v>
      </c>
      <c r="T270" s="64" t="s">
        <v>12</v>
      </c>
      <c r="U270" s="79"/>
      <c r="V270" s="50" t="s">
        <v>8</v>
      </c>
      <c r="W270" s="387" t="s">
        <v>84</v>
      </c>
      <c r="X270" s="387" t="s">
        <v>3</v>
      </c>
      <c r="Y270" s="64" t="s">
        <v>12</v>
      </c>
      <c r="Z270" s="79"/>
      <c r="AA270" s="50" t="s">
        <v>8</v>
      </c>
      <c r="AB270" s="387" t="s">
        <v>84</v>
      </c>
      <c r="AC270" s="387" t="s">
        <v>3</v>
      </c>
      <c r="AD270" s="64" t="s">
        <v>12</v>
      </c>
      <c r="AE270" s="79"/>
      <c r="AF270" s="50" t="s">
        <v>8</v>
      </c>
      <c r="AG270" s="387" t="s">
        <v>84</v>
      </c>
      <c r="AH270" s="387" t="s">
        <v>3</v>
      </c>
      <c r="AI270" s="64" t="s">
        <v>12</v>
      </c>
      <c r="AJ270" s="79"/>
      <c r="AK270" s="50" t="s">
        <v>8</v>
      </c>
      <c r="AL270" s="387" t="s">
        <v>84</v>
      </c>
      <c r="AM270" s="387" t="s">
        <v>3</v>
      </c>
      <c r="AN270" s="64" t="s">
        <v>12</v>
      </c>
      <c r="AO270" s="79"/>
      <c r="AP270" s="50" t="s">
        <v>8</v>
      </c>
      <c r="AQ270" s="387" t="s">
        <v>84</v>
      </c>
      <c r="AR270" s="387" t="s">
        <v>3</v>
      </c>
      <c r="AS270" s="64" t="s">
        <v>12</v>
      </c>
    </row>
    <row r="271" spans="1:45" x14ac:dyDescent="0.25">
      <c r="K271" s="110">
        <v>0</v>
      </c>
      <c r="L271" s="111" t="s">
        <v>105</v>
      </c>
      <c r="M271" s="362">
        <v>5.56</v>
      </c>
      <c r="N271" s="363">
        <v>18</v>
      </c>
      <c r="O271" s="115">
        <v>0.92990000000000017</v>
      </c>
      <c r="P271" s="114">
        <v>0</v>
      </c>
      <c r="Q271" s="111" t="s">
        <v>105</v>
      </c>
      <c r="R271" s="362">
        <v>5.56</v>
      </c>
      <c r="S271" s="363">
        <v>18</v>
      </c>
      <c r="T271" s="115">
        <v>0.92990000000000017</v>
      </c>
      <c r="U271" s="114">
        <v>0</v>
      </c>
      <c r="V271" s="111" t="s">
        <v>105</v>
      </c>
      <c r="W271" s="362">
        <v>5.56</v>
      </c>
      <c r="X271" s="363">
        <v>18</v>
      </c>
      <c r="Y271" s="115">
        <v>0.92990000000000017</v>
      </c>
      <c r="Z271" s="114">
        <v>0</v>
      </c>
      <c r="AA271" s="111" t="s">
        <v>105</v>
      </c>
      <c r="AB271" s="362">
        <v>5.56</v>
      </c>
      <c r="AC271" s="363">
        <v>18</v>
      </c>
      <c r="AD271" s="115">
        <v>0.92990000000000017</v>
      </c>
      <c r="AE271" s="110">
        <v>0</v>
      </c>
      <c r="AF271" s="111" t="s">
        <v>105</v>
      </c>
      <c r="AG271" s="362">
        <v>5.56</v>
      </c>
      <c r="AH271" s="363">
        <v>18</v>
      </c>
      <c r="AI271" s="115">
        <v>0.92990000000000017</v>
      </c>
      <c r="AJ271" s="114">
        <v>0</v>
      </c>
      <c r="AK271" s="111" t="s">
        <v>105</v>
      </c>
      <c r="AL271" s="362">
        <v>5.56</v>
      </c>
      <c r="AM271" s="363">
        <v>18</v>
      </c>
      <c r="AN271" s="115">
        <v>0.92990000000000017</v>
      </c>
      <c r="AO271" s="114">
        <v>0</v>
      </c>
      <c r="AP271" s="111" t="s">
        <v>105</v>
      </c>
      <c r="AQ271" s="362">
        <v>5.56</v>
      </c>
      <c r="AR271" s="363">
        <v>18</v>
      </c>
      <c r="AS271" s="115">
        <v>0.92990000000000017</v>
      </c>
    </row>
    <row r="272" spans="1:45" x14ac:dyDescent="0.25">
      <c r="K272" s="122">
        <f>O271</f>
        <v>0.92990000000000017</v>
      </c>
      <c r="L272" s="123" t="s">
        <v>102</v>
      </c>
      <c r="M272" s="364">
        <v>5.46</v>
      </c>
      <c r="N272" s="365">
        <v>12</v>
      </c>
      <c r="O272" s="127">
        <v>0.97160000000000013</v>
      </c>
      <c r="P272" s="126">
        <f t="shared" ref="P272:P335" si="15">T271</f>
        <v>0.92990000000000017</v>
      </c>
      <c r="Q272" s="123" t="s">
        <v>102</v>
      </c>
      <c r="R272" s="364">
        <v>5.46</v>
      </c>
      <c r="S272" s="365">
        <v>12</v>
      </c>
      <c r="T272" s="127">
        <v>0.97160000000000013</v>
      </c>
      <c r="U272" s="126">
        <f t="shared" ref="U272:U303" si="16">Y271</f>
        <v>0.92990000000000017</v>
      </c>
      <c r="V272" s="123" t="s">
        <v>102</v>
      </c>
      <c r="W272" s="364">
        <v>5.46</v>
      </c>
      <c r="X272" s="365">
        <v>12</v>
      </c>
      <c r="Y272" s="127">
        <v>0.97160000000000013</v>
      </c>
      <c r="Z272" s="126">
        <f t="shared" ref="Z272:Z303" si="17">AD271</f>
        <v>0.92990000000000017</v>
      </c>
      <c r="AA272" s="123" t="s">
        <v>102</v>
      </c>
      <c r="AB272" s="364">
        <v>5.46</v>
      </c>
      <c r="AC272" s="365">
        <v>12</v>
      </c>
      <c r="AD272" s="127">
        <v>0.97160000000000013</v>
      </c>
      <c r="AE272" s="122">
        <f t="shared" ref="AE272:AE335" si="18">AI271</f>
        <v>0.92990000000000017</v>
      </c>
      <c r="AF272" s="123" t="s">
        <v>102</v>
      </c>
      <c r="AG272" s="364">
        <v>5.46</v>
      </c>
      <c r="AH272" s="365">
        <v>12</v>
      </c>
      <c r="AI272" s="127">
        <v>0.97160000000000013</v>
      </c>
      <c r="AJ272" s="126">
        <f t="shared" ref="AJ272:AJ335" si="19">AN271</f>
        <v>0.92990000000000017</v>
      </c>
      <c r="AK272" s="123" t="s">
        <v>102</v>
      </c>
      <c r="AL272" s="364">
        <v>5.46</v>
      </c>
      <c r="AM272" s="365">
        <v>12</v>
      </c>
      <c r="AN272" s="127">
        <v>0.97160000000000013</v>
      </c>
      <c r="AO272" s="126">
        <f t="shared" ref="AO272:AO335" si="20">AS271</f>
        <v>0.92990000000000017</v>
      </c>
      <c r="AP272" s="123" t="s">
        <v>102</v>
      </c>
      <c r="AQ272" s="364">
        <v>5.46</v>
      </c>
      <c r="AR272" s="365">
        <v>12</v>
      </c>
      <c r="AS272" s="127">
        <v>0.97160000000000013</v>
      </c>
    </row>
    <row r="273" spans="11:45" x14ac:dyDescent="0.25">
      <c r="K273" s="122">
        <f t="shared" ref="K273:K300" si="21">O272</f>
        <v>0.97160000000000013</v>
      </c>
      <c r="L273" s="123" t="s">
        <v>103</v>
      </c>
      <c r="M273" s="364">
        <v>8.51</v>
      </c>
      <c r="N273" s="365">
        <v>18</v>
      </c>
      <c r="O273" s="127">
        <v>1.0296000000000001</v>
      </c>
      <c r="P273" s="126">
        <f t="shared" si="15"/>
        <v>0.97160000000000013</v>
      </c>
      <c r="Q273" s="123" t="s">
        <v>103</v>
      </c>
      <c r="R273" s="364">
        <v>8.51</v>
      </c>
      <c r="S273" s="365">
        <v>18</v>
      </c>
      <c r="T273" s="127">
        <v>1.0296000000000001</v>
      </c>
      <c r="U273" s="126">
        <f t="shared" si="16"/>
        <v>0.97160000000000013</v>
      </c>
      <c r="V273" s="123" t="s">
        <v>103</v>
      </c>
      <c r="W273" s="364">
        <v>8.51</v>
      </c>
      <c r="X273" s="365">
        <v>18</v>
      </c>
      <c r="Y273" s="127">
        <v>1.0296000000000001</v>
      </c>
      <c r="Z273" s="126">
        <f t="shared" si="17"/>
        <v>0.97160000000000013</v>
      </c>
      <c r="AA273" s="123" t="s">
        <v>103</v>
      </c>
      <c r="AB273" s="364">
        <v>8.51</v>
      </c>
      <c r="AC273" s="365">
        <v>18</v>
      </c>
      <c r="AD273" s="127">
        <v>1.0296000000000001</v>
      </c>
      <c r="AE273" s="122">
        <f t="shared" si="18"/>
        <v>0.97160000000000013</v>
      </c>
      <c r="AF273" s="123" t="s">
        <v>103</v>
      </c>
      <c r="AG273" s="364">
        <v>8.51</v>
      </c>
      <c r="AH273" s="365">
        <v>18</v>
      </c>
      <c r="AI273" s="127">
        <v>1.0296000000000001</v>
      </c>
      <c r="AJ273" s="126">
        <f t="shared" si="19"/>
        <v>0.97160000000000013</v>
      </c>
      <c r="AK273" s="123" t="s">
        <v>103</v>
      </c>
      <c r="AL273" s="364">
        <v>8.51</v>
      </c>
      <c r="AM273" s="365">
        <v>18</v>
      </c>
      <c r="AN273" s="127">
        <v>1.0296000000000001</v>
      </c>
      <c r="AO273" s="126">
        <f t="shared" si="20"/>
        <v>0.97160000000000013</v>
      </c>
      <c r="AP273" s="123" t="s">
        <v>103</v>
      </c>
      <c r="AQ273" s="364">
        <v>8.51</v>
      </c>
      <c r="AR273" s="365">
        <v>18</v>
      </c>
      <c r="AS273" s="127">
        <v>1.0296000000000001</v>
      </c>
    </row>
    <row r="274" spans="11:45" x14ac:dyDescent="0.25">
      <c r="K274" s="122">
        <f t="shared" si="21"/>
        <v>1.0296000000000001</v>
      </c>
      <c r="L274" s="123" t="s">
        <v>104</v>
      </c>
      <c r="M274" s="366">
        <v>10.199999999999999</v>
      </c>
      <c r="N274" s="365">
        <v>18</v>
      </c>
      <c r="O274" s="127">
        <v>1.1583000000000001</v>
      </c>
      <c r="P274" s="126">
        <f t="shared" si="15"/>
        <v>1.0296000000000001</v>
      </c>
      <c r="Q274" s="123" t="s">
        <v>104</v>
      </c>
      <c r="R274" s="366">
        <v>10.199999999999999</v>
      </c>
      <c r="S274" s="365">
        <v>18</v>
      </c>
      <c r="T274" s="127">
        <v>1.1583000000000001</v>
      </c>
      <c r="U274" s="126">
        <f t="shared" si="16"/>
        <v>1.0296000000000001</v>
      </c>
      <c r="V274" s="123" t="s">
        <v>104</v>
      </c>
      <c r="W274" s="366">
        <v>10.199999999999999</v>
      </c>
      <c r="X274" s="365">
        <v>18</v>
      </c>
      <c r="Y274" s="127">
        <v>1.1583000000000001</v>
      </c>
      <c r="Z274" s="126">
        <f t="shared" si="17"/>
        <v>1.0296000000000001</v>
      </c>
      <c r="AA274" s="123" t="s">
        <v>104</v>
      </c>
      <c r="AB274" s="366">
        <v>10.199999999999999</v>
      </c>
      <c r="AC274" s="365">
        <v>18</v>
      </c>
      <c r="AD274" s="127">
        <v>1.1583000000000001</v>
      </c>
      <c r="AE274" s="122">
        <f t="shared" si="18"/>
        <v>1.0296000000000001</v>
      </c>
      <c r="AF274" s="123" t="s">
        <v>104</v>
      </c>
      <c r="AG274" s="366">
        <v>10.199999999999999</v>
      </c>
      <c r="AH274" s="365">
        <v>18</v>
      </c>
      <c r="AI274" s="127">
        <v>1.1583000000000001</v>
      </c>
      <c r="AJ274" s="126">
        <f t="shared" si="19"/>
        <v>1.0296000000000001</v>
      </c>
      <c r="AK274" s="123" t="s">
        <v>104</v>
      </c>
      <c r="AL274" s="366">
        <v>10.199999999999999</v>
      </c>
      <c r="AM274" s="365">
        <v>18</v>
      </c>
      <c r="AN274" s="127">
        <v>1.1583000000000001</v>
      </c>
      <c r="AO274" s="126">
        <f t="shared" si="20"/>
        <v>1.0296000000000001</v>
      </c>
      <c r="AP274" s="123" t="s">
        <v>104</v>
      </c>
      <c r="AQ274" s="366">
        <v>10.199999999999999</v>
      </c>
      <c r="AR274" s="365">
        <v>18</v>
      </c>
      <c r="AS274" s="127">
        <v>1.1583000000000001</v>
      </c>
    </row>
    <row r="275" spans="11:45" x14ac:dyDescent="0.25">
      <c r="K275" s="122">
        <f t="shared" si="21"/>
        <v>1.1583000000000001</v>
      </c>
      <c r="L275" s="123" t="s">
        <v>106</v>
      </c>
      <c r="M275" s="364">
        <v>7.31</v>
      </c>
      <c r="N275" s="365">
        <v>18</v>
      </c>
      <c r="O275" s="127">
        <v>1.2581000000000002</v>
      </c>
      <c r="P275" s="126">
        <f t="shared" si="15"/>
        <v>1.1583000000000001</v>
      </c>
      <c r="Q275" s="123" t="s">
        <v>106</v>
      </c>
      <c r="R275" s="364">
        <v>7.31</v>
      </c>
      <c r="S275" s="365">
        <v>18</v>
      </c>
      <c r="T275" s="127">
        <v>1.2581000000000002</v>
      </c>
      <c r="U275" s="126">
        <f t="shared" si="16"/>
        <v>1.1583000000000001</v>
      </c>
      <c r="V275" s="123" t="s">
        <v>106</v>
      </c>
      <c r="W275" s="364">
        <v>7.31</v>
      </c>
      <c r="X275" s="365">
        <v>18</v>
      </c>
      <c r="Y275" s="127">
        <v>1.2581000000000002</v>
      </c>
      <c r="Z275" s="126">
        <f t="shared" si="17"/>
        <v>1.1583000000000001</v>
      </c>
      <c r="AA275" s="123" t="s">
        <v>106</v>
      </c>
      <c r="AB275" s="364">
        <v>7.31</v>
      </c>
      <c r="AC275" s="365">
        <v>18</v>
      </c>
      <c r="AD275" s="127">
        <v>1.2581000000000002</v>
      </c>
      <c r="AE275" s="122">
        <f t="shared" si="18"/>
        <v>1.1583000000000001</v>
      </c>
      <c r="AF275" s="123" t="s">
        <v>106</v>
      </c>
      <c r="AG275" s="364">
        <v>7.31</v>
      </c>
      <c r="AH275" s="365">
        <v>18</v>
      </c>
      <c r="AI275" s="127">
        <v>1.2581000000000002</v>
      </c>
      <c r="AJ275" s="126">
        <f t="shared" si="19"/>
        <v>1.1583000000000001</v>
      </c>
      <c r="AK275" s="123" t="s">
        <v>106</v>
      </c>
      <c r="AL275" s="364">
        <v>7.31</v>
      </c>
      <c r="AM275" s="365">
        <v>18</v>
      </c>
      <c r="AN275" s="127">
        <v>1.2581000000000002</v>
      </c>
      <c r="AO275" s="126">
        <f t="shared" si="20"/>
        <v>1.1583000000000001</v>
      </c>
      <c r="AP275" s="123" t="s">
        <v>106</v>
      </c>
      <c r="AQ275" s="364">
        <v>7.31</v>
      </c>
      <c r="AR275" s="365">
        <v>18</v>
      </c>
      <c r="AS275" s="127">
        <v>1.2581000000000002</v>
      </c>
    </row>
    <row r="276" spans="11:45" x14ac:dyDescent="0.25">
      <c r="K276" s="122">
        <f t="shared" si="21"/>
        <v>1.2581000000000002</v>
      </c>
      <c r="L276" s="123" t="s">
        <v>108</v>
      </c>
      <c r="M276" s="366">
        <v>9.7200000000000006</v>
      </c>
      <c r="N276" s="365">
        <v>18</v>
      </c>
      <c r="O276" s="127">
        <v>1.2581000000000002</v>
      </c>
      <c r="P276" s="126">
        <f t="shared" si="15"/>
        <v>1.2581000000000002</v>
      </c>
      <c r="Q276" s="123" t="s">
        <v>108</v>
      </c>
      <c r="R276" s="366">
        <v>9.7200000000000006</v>
      </c>
      <c r="S276" s="365">
        <v>18</v>
      </c>
      <c r="T276" s="127">
        <v>1.2581000000000002</v>
      </c>
      <c r="U276" s="126">
        <f t="shared" si="16"/>
        <v>1.2581000000000002</v>
      </c>
      <c r="V276" s="123" t="s">
        <v>108</v>
      </c>
      <c r="W276" s="366">
        <v>9.7200000000000006</v>
      </c>
      <c r="X276" s="365">
        <v>18</v>
      </c>
      <c r="Y276" s="127">
        <v>1.2581000000000002</v>
      </c>
      <c r="Z276" s="126">
        <f t="shared" si="17"/>
        <v>1.2581000000000002</v>
      </c>
      <c r="AA276" s="123" t="s">
        <v>108</v>
      </c>
      <c r="AB276" s="366">
        <v>9.7200000000000006</v>
      </c>
      <c r="AC276" s="365">
        <v>18</v>
      </c>
      <c r="AD276" s="127">
        <v>1.2581000000000002</v>
      </c>
      <c r="AE276" s="122">
        <f t="shared" si="18"/>
        <v>1.2581000000000002</v>
      </c>
      <c r="AF276" s="123" t="s">
        <v>108</v>
      </c>
      <c r="AG276" s="366">
        <v>9.7200000000000006</v>
      </c>
      <c r="AH276" s="365">
        <v>18</v>
      </c>
      <c r="AI276" s="127">
        <v>1.2581000000000002</v>
      </c>
      <c r="AJ276" s="126">
        <f t="shared" si="19"/>
        <v>1.2581000000000002</v>
      </c>
      <c r="AK276" s="123" t="s">
        <v>108</v>
      </c>
      <c r="AL276" s="366">
        <v>9.7200000000000006</v>
      </c>
      <c r="AM276" s="365">
        <v>18</v>
      </c>
      <c r="AN276" s="127">
        <v>1.2581000000000002</v>
      </c>
      <c r="AO276" s="126">
        <f t="shared" si="20"/>
        <v>1.2581000000000002</v>
      </c>
      <c r="AP276" s="123" t="s">
        <v>108</v>
      </c>
      <c r="AQ276" s="366">
        <v>9.7200000000000006</v>
      </c>
      <c r="AR276" s="365">
        <v>18</v>
      </c>
      <c r="AS276" s="127">
        <v>1.2581000000000002</v>
      </c>
    </row>
    <row r="277" spans="11:45" x14ac:dyDescent="0.25">
      <c r="K277" s="122">
        <f t="shared" si="21"/>
        <v>1.2581000000000002</v>
      </c>
      <c r="L277" s="123" t="s">
        <v>111</v>
      </c>
      <c r="M277" s="364">
        <v>7.81</v>
      </c>
      <c r="N277" s="365">
        <v>18</v>
      </c>
      <c r="O277" s="127">
        <v>1.2716000000000001</v>
      </c>
      <c r="P277" s="126">
        <f t="shared" si="15"/>
        <v>1.2581000000000002</v>
      </c>
      <c r="Q277" s="123" t="s">
        <v>111</v>
      </c>
      <c r="R277" s="364">
        <v>7.81</v>
      </c>
      <c r="S277" s="365">
        <v>18</v>
      </c>
      <c r="T277" s="127">
        <v>1.2716000000000001</v>
      </c>
      <c r="U277" s="126">
        <f t="shared" si="16"/>
        <v>1.2581000000000002</v>
      </c>
      <c r="V277" s="123" t="s">
        <v>111</v>
      </c>
      <c r="W277" s="364">
        <v>7.81</v>
      </c>
      <c r="X277" s="365">
        <v>18</v>
      </c>
      <c r="Y277" s="127">
        <v>1.2716000000000001</v>
      </c>
      <c r="Z277" s="126">
        <f t="shared" si="17"/>
        <v>1.2581000000000002</v>
      </c>
      <c r="AA277" s="123" t="s">
        <v>111</v>
      </c>
      <c r="AB277" s="364">
        <v>7.81</v>
      </c>
      <c r="AC277" s="365">
        <v>18</v>
      </c>
      <c r="AD277" s="127">
        <v>1.2716000000000001</v>
      </c>
      <c r="AE277" s="122">
        <f t="shared" si="18"/>
        <v>1.2581000000000002</v>
      </c>
      <c r="AF277" s="123" t="s">
        <v>111</v>
      </c>
      <c r="AG277" s="364">
        <v>7.81</v>
      </c>
      <c r="AH277" s="365">
        <v>18</v>
      </c>
      <c r="AI277" s="127">
        <v>1.2716000000000001</v>
      </c>
      <c r="AJ277" s="126">
        <f t="shared" si="19"/>
        <v>1.2581000000000002</v>
      </c>
      <c r="AK277" s="123" t="s">
        <v>111</v>
      </c>
      <c r="AL277" s="364">
        <v>7.81</v>
      </c>
      <c r="AM277" s="365">
        <v>18</v>
      </c>
      <c r="AN277" s="127">
        <v>1.2716000000000001</v>
      </c>
      <c r="AO277" s="126">
        <f t="shared" si="20"/>
        <v>1.2581000000000002</v>
      </c>
      <c r="AP277" s="123" t="s">
        <v>111</v>
      </c>
      <c r="AQ277" s="364">
        <v>7.81</v>
      </c>
      <c r="AR277" s="365">
        <v>18</v>
      </c>
      <c r="AS277" s="127">
        <v>1.2716000000000001</v>
      </c>
    </row>
    <row r="278" spans="11:45" x14ac:dyDescent="0.25">
      <c r="K278" s="122">
        <f t="shared" si="21"/>
        <v>1.2716000000000001</v>
      </c>
      <c r="L278" s="123" t="s">
        <v>107</v>
      </c>
      <c r="M278" s="366">
        <v>10.199999999999999</v>
      </c>
      <c r="N278" s="365">
        <v>18</v>
      </c>
      <c r="O278" s="127">
        <v>1.4222000000000001</v>
      </c>
      <c r="P278" s="126">
        <f t="shared" si="15"/>
        <v>1.2716000000000001</v>
      </c>
      <c r="Q278" s="123" t="s">
        <v>107</v>
      </c>
      <c r="R278" s="366">
        <v>10.199999999999999</v>
      </c>
      <c r="S278" s="365">
        <v>18</v>
      </c>
      <c r="T278" s="127">
        <v>1.4222000000000001</v>
      </c>
      <c r="U278" s="126">
        <f t="shared" si="16"/>
        <v>1.2716000000000001</v>
      </c>
      <c r="V278" s="123" t="s">
        <v>107</v>
      </c>
      <c r="W278" s="366">
        <v>10.199999999999999</v>
      </c>
      <c r="X278" s="365">
        <v>18</v>
      </c>
      <c r="Y278" s="127">
        <v>1.4222000000000001</v>
      </c>
      <c r="Z278" s="126">
        <f t="shared" si="17"/>
        <v>1.2716000000000001</v>
      </c>
      <c r="AA278" s="123" t="s">
        <v>107</v>
      </c>
      <c r="AB278" s="366">
        <v>10.199999999999999</v>
      </c>
      <c r="AC278" s="365">
        <v>18</v>
      </c>
      <c r="AD278" s="127">
        <v>1.4222000000000001</v>
      </c>
      <c r="AE278" s="122">
        <f t="shared" si="18"/>
        <v>1.2716000000000001</v>
      </c>
      <c r="AF278" s="123" t="s">
        <v>107</v>
      </c>
      <c r="AG278" s="366">
        <v>10.199999999999999</v>
      </c>
      <c r="AH278" s="365">
        <v>18</v>
      </c>
      <c r="AI278" s="127">
        <v>1.4222000000000001</v>
      </c>
      <c r="AJ278" s="126">
        <f t="shared" si="19"/>
        <v>1.2716000000000001</v>
      </c>
      <c r="AK278" s="123" t="s">
        <v>107</v>
      </c>
      <c r="AL278" s="366">
        <v>10.199999999999999</v>
      </c>
      <c r="AM278" s="365">
        <v>18</v>
      </c>
      <c r="AN278" s="127">
        <v>1.4222000000000001</v>
      </c>
      <c r="AO278" s="126">
        <f t="shared" si="20"/>
        <v>1.2716000000000001</v>
      </c>
      <c r="AP278" s="123" t="s">
        <v>107</v>
      </c>
      <c r="AQ278" s="366">
        <v>10.199999999999999</v>
      </c>
      <c r="AR278" s="365">
        <v>18</v>
      </c>
      <c r="AS278" s="127">
        <v>1.4222000000000001</v>
      </c>
    </row>
    <row r="279" spans="11:45" x14ac:dyDescent="0.25">
      <c r="K279" s="122">
        <f t="shared" si="21"/>
        <v>1.4222000000000001</v>
      </c>
      <c r="L279" s="123" t="s">
        <v>109</v>
      </c>
      <c r="M279" s="366">
        <v>13.4</v>
      </c>
      <c r="N279" s="365">
        <v>18</v>
      </c>
      <c r="O279" s="127">
        <v>1.4222000000000001</v>
      </c>
      <c r="P279" s="126">
        <f t="shared" si="15"/>
        <v>1.4222000000000001</v>
      </c>
      <c r="Q279" s="123" t="s">
        <v>109</v>
      </c>
      <c r="R279" s="366">
        <v>13.4</v>
      </c>
      <c r="S279" s="365">
        <v>18</v>
      </c>
      <c r="T279" s="127">
        <v>1.4222000000000001</v>
      </c>
      <c r="U279" s="126">
        <f t="shared" si="16"/>
        <v>1.4222000000000001</v>
      </c>
      <c r="V279" s="123" t="s">
        <v>109</v>
      </c>
      <c r="W279" s="366">
        <v>13.4</v>
      </c>
      <c r="X279" s="365">
        <v>18</v>
      </c>
      <c r="Y279" s="127">
        <v>1.4222000000000001</v>
      </c>
      <c r="Z279" s="126">
        <f t="shared" si="17"/>
        <v>1.4222000000000001</v>
      </c>
      <c r="AA279" s="123" t="s">
        <v>109</v>
      </c>
      <c r="AB279" s="366">
        <v>13.4</v>
      </c>
      <c r="AC279" s="365">
        <v>18</v>
      </c>
      <c r="AD279" s="127">
        <v>1.4222000000000001</v>
      </c>
      <c r="AE279" s="122">
        <f t="shared" si="18"/>
        <v>1.4222000000000001</v>
      </c>
      <c r="AF279" s="123" t="s">
        <v>109</v>
      </c>
      <c r="AG279" s="366">
        <v>13.4</v>
      </c>
      <c r="AH279" s="365">
        <v>18</v>
      </c>
      <c r="AI279" s="127">
        <v>1.4222000000000001</v>
      </c>
      <c r="AJ279" s="126">
        <f t="shared" si="19"/>
        <v>1.4222000000000001</v>
      </c>
      <c r="AK279" s="123" t="s">
        <v>109</v>
      </c>
      <c r="AL279" s="366">
        <v>13.4</v>
      </c>
      <c r="AM279" s="365">
        <v>18</v>
      </c>
      <c r="AN279" s="127">
        <v>1.4222000000000001</v>
      </c>
      <c r="AO279" s="126">
        <f t="shared" si="20"/>
        <v>1.4222000000000001</v>
      </c>
      <c r="AP279" s="123" t="s">
        <v>109</v>
      </c>
      <c r="AQ279" s="366">
        <v>13.4</v>
      </c>
      <c r="AR279" s="365">
        <v>18</v>
      </c>
      <c r="AS279" s="127">
        <v>1.4222000000000001</v>
      </c>
    </row>
    <row r="280" spans="11:45" x14ac:dyDescent="0.25">
      <c r="K280" s="122">
        <f t="shared" si="21"/>
        <v>1.4222000000000001</v>
      </c>
      <c r="L280" s="123" t="s">
        <v>112</v>
      </c>
      <c r="M280" s="364">
        <v>9.91</v>
      </c>
      <c r="N280" s="365">
        <v>18</v>
      </c>
      <c r="O280" s="127">
        <v>1.7204000000000002</v>
      </c>
      <c r="P280" s="126">
        <f t="shared" si="15"/>
        <v>1.4222000000000001</v>
      </c>
      <c r="Q280" s="123" t="s">
        <v>112</v>
      </c>
      <c r="R280" s="364">
        <v>9.91</v>
      </c>
      <c r="S280" s="365">
        <v>18</v>
      </c>
      <c r="T280" s="127">
        <v>1.7204000000000002</v>
      </c>
      <c r="U280" s="126">
        <f t="shared" si="16"/>
        <v>1.4222000000000001</v>
      </c>
      <c r="V280" s="123" t="s">
        <v>112</v>
      </c>
      <c r="W280" s="364">
        <v>9.91</v>
      </c>
      <c r="X280" s="365">
        <v>18</v>
      </c>
      <c r="Y280" s="127">
        <v>1.7204000000000002</v>
      </c>
      <c r="Z280" s="126">
        <f t="shared" si="17"/>
        <v>1.4222000000000001</v>
      </c>
      <c r="AA280" s="123" t="s">
        <v>112</v>
      </c>
      <c r="AB280" s="364">
        <v>9.91</v>
      </c>
      <c r="AC280" s="365">
        <v>18</v>
      </c>
      <c r="AD280" s="127">
        <v>1.7204000000000002</v>
      </c>
      <c r="AE280" s="122">
        <f t="shared" si="18"/>
        <v>1.4222000000000001</v>
      </c>
      <c r="AF280" s="123" t="s">
        <v>112</v>
      </c>
      <c r="AG280" s="364">
        <v>9.91</v>
      </c>
      <c r="AH280" s="365">
        <v>18</v>
      </c>
      <c r="AI280" s="127">
        <v>1.7204000000000002</v>
      </c>
      <c r="AJ280" s="126">
        <f t="shared" si="19"/>
        <v>1.4222000000000001</v>
      </c>
      <c r="AK280" s="123" t="s">
        <v>112</v>
      </c>
      <c r="AL280" s="364">
        <v>9.91</v>
      </c>
      <c r="AM280" s="365">
        <v>18</v>
      </c>
      <c r="AN280" s="127">
        <v>1.7204000000000002</v>
      </c>
      <c r="AO280" s="126">
        <f t="shared" si="20"/>
        <v>1.4222000000000001</v>
      </c>
      <c r="AP280" s="123" t="s">
        <v>112</v>
      </c>
      <c r="AQ280" s="364">
        <v>9.91</v>
      </c>
      <c r="AR280" s="365">
        <v>18</v>
      </c>
      <c r="AS280" s="127">
        <v>1.7204000000000002</v>
      </c>
    </row>
    <row r="281" spans="11:45" x14ac:dyDescent="0.25">
      <c r="K281" s="122">
        <f t="shared" si="21"/>
        <v>1.7204000000000002</v>
      </c>
      <c r="L281" s="123" t="s">
        <v>114</v>
      </c>
      <c r="M281" s="366">
        <v>15.2</v>
      </c>
      <c r="N281" s="365">
        <v>18</v>
      </c>
      <c r="O281" s="127">
        <v>1.7204000000000002</v>
      </c>
      <c r="P281" s="126">
        <f t="shared" si="15"/>
        <v>1.7204000000000002</v>
      </c>
      <c r="Q281" s="123" t="s">
        <v>114</v>
      </c>
      <c r="R281" s="366">
        <v>15.2</v>
      </c>
      <c r="S281" s="365">
        <v>18</v>
      </c>
      <c r="T281" s="127">
        <v>1.7204000000000002</v>
      </c>
      <c r="U281" s="126">
        <f t="shared" si="16"/>
        <v>1.7204000000000002</v>
      </c>
      <c r="V281" s="123" t="s">
        <v>114</v>
      </c>
      <c r="W281" s="366">
        <v>15.2</v>
      </c>
      <c r="X281" s="365">
        <v>18</v>
      </c>
      <c r="Y281" s="127">
        <v>1.7204000000000002</v>
      </c>
      <c r="Z281" s="126">
        <f t="shared" si="17"/>
        <v>1.7204000000000002</v>
      </c>
      <c r="AA281" s="123" t="s">
        <v>114</v>
      </c>
      <c r="AB281" s="366">
        <v>15.2</v>
      </c>
      <c r="AC281" s="365">
        <v>18</v>
      </c>
      <c r="AD281" s="127">
        <v>1.7204000000000002</v>
      </c>
      <c r="AE281" s="122">
        <f t="shared" si="18"/>
        <v>1.7204000000000002</v>
      </c>
      <c r="AF281" s="123" t="s">
        <v>114</v>
      </c>
      <c r="AG281" s="366">
        <v>15.2</v>
      </c>
      <c r="AH281" s="365">
        <v>18</v>
      </c>
      <c r="AI281" s="127">
        <v>1.7204000000000002</v>
      </c>
      <c r="AJ281" s="126">
        <f t="shared" si="19"/>
        <v>1.7204000000000002</v>
      </c>
      <c r="AK281" s="123" t="s">
        <v>114</v>
      </c>
      <c r="AL281" s="366">
        <v>15.2</v>
      </c>
      <c r="AM281" s="365">
        <v>18</v>
      </c>
      <c r="AN281" s="127">
        <v>1.7204000000000002</v>
      </c>
      <c r="AO281" s="126">
        <f t="shared" si="20"/>
        <v>1.7204000000000002</v>
      </c>
      <c r="AP281" s="123" t="s">
        <v>114</v>
      </c>
      <c r="AQ281" s="366">
        <v>15.2</v>
      </c>
      <c r="AR281" s="365">
        <v>18</v>
      </c>
      <c r="AS281" s="127">
        <v>1.7204000000000002</v>
      </c>
    </row>
    <row r="282" spans="11:45" x14ac:dyDescent="0.25">
      <c r="K282" s="122">
        <f t="shared" si="21"/>
        <v>1.7204000000000002</v>
      </c>
      <c r="L282" s="123" t="s">
        <v>116</v>
      </c>
      <c r="M282" s="366">
        <v>20.9</v>
      </c>
      <c r="N282" s="365">
        <v>18</v>
      </c>
      <c r="O282" s="127">
        <v>1.74685</v>
      </c>
      <c r="P282" s="126">
        <f t="shared" si="15"/>
        <v>1.7204000000000002</v>
      </c>
      <c r="Q282" s="123" t="s">
        <v>116</v>
      </c>
      <c r="R282" s="366">
        <v>20.9</v>
      </c>
      <c r="S282" s="365">
        <v>18</v>
      </c>
      <c r="T282" s="127">
        <v>1.74685</v>
      </c>
      <c r="U282" s="126">
        <f t="shared" si="16"/>
        <v>1.7204000000000002</v>
      </c>
      <c r="V282" s="123" t="s">
        <v>116</v>
      </c>
      <c r="W282" s="366">
        <v>20.9</v>
      </c>
      <c r="X282" s="365">
        <v>18</v>
      </c>
      <c r="Y282" s="127">
        <v>1.74685</v>
      </c>
      <c r="Z282" s="126">
        <f t="shared" si="17"/>
        <v>1.7204000000000002</v>
      </c>
      <c r="AA282" s="123" t="s">
        <v>116</v>
      </c>
      <c r="AB282" s="366">
        <v>20.9</v>
      </c>
      <c r="AC282" s="365">
        <v>18</v>
      </c>
      <c r="AD282" s="127">
        <v>1.74685</v>
      </c>
      <c r="AE282" s="122">
        <f t="shared" si="18"/>
        <v>1.7204000000000002</v>
      </c>
      <c r="AF282" s="123" t="s">
        <v>116</v>
      </c>
      <c r="AG282" s="366">
        <v>20.9</v>
      </c>
      <c r="AH282" s="365">
        <v>18</v>
      </c>
      <c r="AI282" s="127">
        <v>1.74685</v>
      </c>
      <c r="AJ282" s="126">
        <f t="shared" si="19"/>
        <v>1.7204000000000002</v>
      </c>
      <c r="AK282" s="123" t="s">
        <v>116</v>
      </c>
      <c r="AL282" s="366">
        <v>20.9</v>
      </c>
      <c r="AM282" s="365">
        <v>18</v>
      </c>
      <c r="AN282" s="127">
        <v>1.74685</v>
      </c>
      <c r="AO282" s="126">
        <f t="shared" si="20"/>
        <v>1.7204000000000002</v>
      </c>
      <c r="AP282" s="123" t="s">
        <v>116</v>
      </c>
      <c r="AQ282" s="366">
        <v>20.9</v>
      </c>
      <c r="AR282" s="365">
        <v>18</v>
      </c>
      <c r="AS282" s="127">
        <v>1.74685</v>
      </c>
    </row>
    <row r="283" spans="11:45" x14ac:dyDescent="0.25">
      <c r="K283" s="122">
        <f t="shared" si="21"/>
        <v>1.74685</v>
      </c>
      <c r="L283" s="123" t="s">
        <v>110</v>
      </c>
      <c r="M283" s="366">
        <v>16.7</v>
      </c>
      <c r="N283" s="365">
        <v>18</v>
      </c>
      <c r="O283" s="127">
        <v>1.7504</v>
      </c>
      <c r="P283" s="126">
        <f t="shared" si="15"/>
        <v>1.74685</v>
      </c>
      <c r="Q283" s="123" t="s">
        <v>110</v>
      </c>
      <c r="R283" s="366">
        <v>16.7</v>
      </c>
      <c r="S283" s="365">
        <v>18</v>
      </c>
      <c r="T283" s="127">
        <v>1.7504</v>
      </c>
      <c r="U283" s="126">
        <f t="shared" si="16"/>
        <v>1.74685</v>
      </c>
      <c r="V283" s="123" t="s">
        <v>110</v>
      </c>
      <c r="W283" s="366">
        <v>16.7</v>
      </c>
      <c r="X283" s="365">
        <v>18</v>
      </c>
      <c r="Y283" s="127">
        <v>1.7504</v>
      </c>
      <c r="Z283" s="126">
        <f t="shared" si="17"/>
        <v>1.74685</v>
      </c>
      <c r="AA283" s="123" t="s">
        <v>110</v>
      </c>
      <c r="AB283" s="366">
        <v>16.7</v>
      </c>
      <c r="AC283" s="365">
        <v>18</v>
      </c>
      <c r="AD283" s="127">
        <v>1.7504</v>
      </c>
      <c r="AE283" s="122">
        <f t="shared" si="18"/>
        <v>1.74685</v>
      </c>
      <c r="AF283" s="123" t="s">
        <v>110</v>
      </c>
      <c r="AG283" s="366">
        <v>16.7</v>
      </c>
      <c r="AH283" s="365">
        <v>18</v>
      </c>
      <c r="AI283" s="127">
        <v>1.7504</v>
      </c>
      <c r="AJ283" s="126">
        <f t="shared" si="19"/>
        <v>1.74685</v>
      </c>
      <c r="AK283" s="123" t="s">
        <v>110</v>
      </c>
      <c r="AL283" s="366">
        <v>16.7</v>
      </c>
      <c r="AM283" s="365">
        <v>18</v>
      </c>
      <c r="AN283" s="127">
        <v>1.7504</v>
      </c>
      <c r="AO283" s="126">
        <f t="shared" si="20"/>
        <v>1.74685</v>
      </c>
      <c r="AP283" s="123" t="s">
        <v>110</v>
      </c>
      <c r="AQ283" s="366">
        <v>16.7</v>
      </c>
      <c r="AR283" s="365">
        <v>18</v>
      </c>
      <c r="AS283" s="127">
        <v>1.7504</v>
      </c>
    </row>
    <row r="284" spans="11:45" x14ac:dyDescent="0.25">
      <c r="K284" s="122">
        <f t="shared" si="21"/>
        <v>1.7504</v>
      </c>
      <c r="L284" s="123" t="s">
        <v>124</v>
      </c>
      <c r="M284" s="366">
        <v>10.9</v>
      </c>
      <c r="N284" s="365">
        <v>18</v>
      </c>
      <c r="O284" s="127">
        <v>1.7954999999999999</v>
      </c>
      <c r="P284" s="126">
        <f t="shared" si="15"/>
        <v>1.7504</v>
      </c>
      <c r="Q284" s="123" t="s">
        <v>124</v>
      </c>
      <c r="R284" s="366">
        <v>10.9</v>
      </c>
      <c r="S284" s="365">
        <v>18</v>
      </c>
      <c r="T284" s="127">
        <v>1.7954999999999999</v>
      </c>
      <c r="U284" s="126">
        <f t="shared" si="16"/>
        <v>1.7504</v>
      </c>
      <c r="V284" s="123" t="s">
        <v>124</v>
      </c>
      <c r="W284" s="366">
        <v>10.9</v>
      </c>
      <c r="X284" s="365">
        <v>18</v>
      </c>
      <c r="Y284" s="127">
        <v>1.7954999999999999</v>
      </c>
      <c r="Z284" s="126">
        <f t="shared" si="17"/>
        <v>1.7504</v>
      </c>
      <c r="AA284" s="123" t="s">
        <v>124</v>
      </c>
      <c r="AB284" s="366">
        <v>10.9</v>
      </c>
      <c r="AC284" s="365">
        <v>18</v>
      </c>
      <c r="AD284" s="127">
        <v>1.7954999999999999</v>
      </c>
      <c r="AE284" s="122">
        <f t="shared" si="18"/>
        <v>1.7504</v>
      </c>
      <c r="AF284" s="123" t="s">
        <v>124</v>
      </c>
      <c r="AG284" s="366">
        <v>10.9</v>
      </c>
      <c r="AH284" s="365">
        <v>18</v>
      </c>
      <c r="AI284" s="127">
        <v>1.7954999999999999</v>
      </c>
      <c r="AJ284" s="126">
        <f t="shared" si="19"/>
        <v>1.7504</v>
      </c>
      <c r="AK284" s="123" t="s">
        <v>124</v>
      </c>
      <c r="AL284" s="366">
        <v>10.9</v>
      </c>
      <c r="AM284" s="365">
        <v>18</v>
      </c>
      <c r="AN284" s="127">
        <v>1.7954999999999999</v>
      </c>
      <c r="AO284" s="126">
        <f t="shared" si="20"/>
        <v>1.7504</v>
      </c>
      <c r="AP284" s="123" t="s">
        <v>124</v>
      </c>
      <c r="AQ284" s="366">
        <v>10.9</v>
      </c>
      <c r="AR284" s="365">
        <v>18</v>
      </c>
      <c r="AS284" s="127">
        <v>1.7954999999999999</v>
      </c>
    </row>
    <row r="285" spans="11:45" x14ac:dyDescent="0.25">
      <c r="K285" s="122">
        <f t="shared" si="21"/>
        <v>1.7954999999999999</v>
      </c>
      <c r="L285" s="123" t="s">
        <v>113</v>
      </c>
      <c r="M285" s="366">
        <v>11.8</v>
      </c>
      <c r="N285" s="365">
        <v>18</v>
      </c>
      <c r="O285" s="127">
        <v>1.8325999999999998</v>
      </c>
      <c r="P285" s="126">
        <f t="shared" si="15"/>
        <v>1.7954999999999999</v>
      </c>
      <c r="Q285" s="123" t="s">
        <v>113</v>
      </c>
      <c r="R285" s="366">
        <v>11.8</v>
      </c>
      <c r="S285" s="365">
        <v>18</v>
      </c>
      <c r="T285" s="127">
        <v>1.8325999999999998</v>
      </c>
      <c r="U285" s="126">
        <f t="shared" si="16"/>
        <v>1.7954999999999999</v>
      </c>
      <c r="V285" s="123" t="s">
        <v>113</v>
      </c>
      <c r="W285" s="366">
        <v>11.8</v>
      </c>
      <c r="X285" s="365">
        <v>18</v>
      </c>
      <c r="Y285" s="127">
        <v>1.8325999999999998</v>
      </c>
      <c r="Z285" s="126">
        <f t="shared" si="17"/>
        <v>1.7954999999999999</v>
      </c>
      <c r="AA285" s="123" t="s">
        <v>113</v>
      </c>
      <c r="AB285" s="366">
        <v>11.8</v>
      </c>
      <c r="AC285" s="365">
        <v>18</v>
      </c>
      <c r="AD285" s="127">
        <v>1.8325999999999998</v>
      </c>
      <c r="AE285" s="122">
        <f t="shared" si="18"/>
        <v>1.7954999999999999</v>
      </c>
      <c r="AF285" s="123" t="s">
        <v>113</v>
      </c>
      <c r="AG285" s="366">
        <v>11.8</v>
      </c>
      <c r="AH285" s="365">
        <v>18</v>
      </c>
      <c r="AI285" s="127">
        <v>1.8325999999999998</v>
      </c>
      <c r="AJ285" s="126">
        <f t="shared" si="19"/>
        <v>1.7954999999999999</v>
      </c>
      <c r="AK285" s="123" t="s">
        <v>113</v>
      </c>
      <c r="AL285" s="366">
        <v>11.8</v>
      </c>
      <c r="AM285" s="365">
        <v>18</v>
      </c>
      <c r="AN285" s="127">
        <v>1.8325999999999998</v>
      </c>
      <c r="AO285" s="126">
        <f t="shared" si="20"/>
        <v>1.7954999999999999</v>
      </c>
      <c r="AP285" s="123" t="s">
        <v>113</v>
      </c>
      <c r="AQ285" s="366">
        <v>11.8</v>
      </c>
      <c r="AR285" s="365">
        <v>18</v>
      </c>
      <c r="AS285" s="127">
        <v>1.8325999999999998</v>
      </c>
    </row>
    <row r="286" spans="11:45" x14ac:dyDescent="0.25">
      <c r="K286" s="122">
        <f t="shared" si="21"/>
        <v>1.8325999999999998</v>
      </c>
      <c r="L286" s="123" t="s">
        <v>115</v>
      </c>
      <c r="M286" s="366">
        <v>18.2</v>
      </c>
      <c r="N286" s="365">
        <v>18</v>
      </c>
      <c r="O286" s="127">
        <v>1.8699999999999999</v>
      </c>
      <c r="P286" s="126">
        <f t="shared" si="15"/>
        <v>1.8325999999999998</v>
      </c>
      <c r="Q286" s="123" t="s">
        <v>115</v>
      </c>
      <c r="R286" s="366">
        <v>18.2</v>
      </c>
      <c r="S286" s="365">
        <v>18</v>
      </c>
      <c r="T286" s="127">
        <v>1.8699999999999999</v>
      </c>
      <c r="U286" s="126">
        <f t="shared" si="16"/>
        <v>1.8325999999999998</v>
      </c>
      <c r="V286" s="123" t="s">
        <v>115</v>
      </c>
      <c r="W286" s="366">
        <v>18.2</v>
      </c>
      <c r="X286" s="365">
        <v>18</v>
      </c>
      <c r="Y286" s="127">
        <v>1.8699999999999999</v>
      </c>
      <c r="Z286" s="126">
        <f t="shared" si="17"/>
        <v>1.8325999999999998</v>
      </c>
      <c r="AA286" s="123" t="s">
        <v>115</v>
      </c>
      <c r="AB286" s="366">
        <v>18.2</v>
      </c>
      <c r="AC286" s="365">
        <v>18</v>
      </c>
      <c r="AD286" s="127">
        <v>1.8699999999999999</v>
      </c>
      <c r="AE286" s="122">
        <f t="shared" si="18"/>
        <v>1.8325999999999998</v>
      </c>
      <c r="AF286" s="123" t="s">
        <v>115</v>
      </c>
      <c r="AG286" s="366">
        <v>18.2</v>
      </c>
      <c r="AH286" s="365">
        <v>18</v>
      </c>
      <c r="AI286" s="127">
        <v>1.8699999999999999</v>
      </c>
      <c r="AJ286" s="126">
        <f t="shared" si="19"/>
        <v>1.8325999999999998</v>
      </c>
      <c r="AK286" s="123" t="s">
        <v>115</v>
      </c>
      <c r="AL286" s="366">
        <v>18.2</v>
      </c>
      <c r="AM286" s="365">
        <v>18</v>
      </c>
      <c r="AN286" s="127">
        <v>1.8699999999999999</v>
      </c>
      <c r="AO286" s="126">
        <f t="shared" si="20"/>
        <v>1.8325999999999998</v>
      </c>
      <c r="AP286" s="123" t="s">
        <v>115</v>
      </c>
      <c r="AQ286" s="366">
        <v>18.2</v>
      </c>
      <c r="AR286" s="365">
        <v>18</v>
      </c>
      <c r="AS286" s="127">
        <v>1.8699999999999999</v>
      </c>
    </row>
    <row r="287" spans="11:45" x14ac:dyDescent="0.25">
      <c r="K287" s="122">
        <f t="shared" si="21"/>
        <v>1.8699999999999999</v>
      </c>
      <c r="L287" s="123" t="s">
        <v>117</v>
      </c>
      <c r="M287" s="366">
        <v>24.3</v>
      </c>
      <c r="N287" s="365">
        <v>18</v>
      </c>
      <c r="O287" s="127">
        <v>2.0320499999999999</v>
      </c>
      <c r="P287" s="126">
        <f t="shared" si="15"/>
        <v>1.8699999999999999</v>
      </c>
      <c r="Q287" s="123" t="s">
        <v>117</v>
      </c>
      <c r="R287" s="366">
        <v>24.3</v>
      </c>
      <c r="S287" s="365">
        <v>18</v>
      </c>
      <c r="T287" s="127">
        <v>2.0320499999999999</v>
      </c>
      <c r="U287" s="126">
        <f t="shared" si="16"/>
        <v>1.8699999999999999</v>
      </c>
      <c r="V287" s="123" t="s">
        <v>117</v>
      </c>
      <c r="W287" s="366">
        <v>24.3</v>
      </c>
      <c r="X287" s="365">
        <v>18</v>
      </c>
      <c r="Y287" s="127">
        <v>2.0320499999999999</v>
      </c>
      <c r="Z287" s="126">
        <f t="shared" si="17"/>
        <v>1.8699999999999999</v>
      </c>
      <c r="AA287" s="123" t="s">
        <v>117</v>
      </c>
      <c r="AB287" s="366">
        <v>24.3</v>
      </c>
      <c r="AC287" s="365">
        <v>18</v>
      </c>
      <c r="AD287" s="127">
        <v>2.0320499999999999</v>
      </c>
      <c r="AE287" s="122">
        <f t="shared" si="18"/>
        <v>1.8699999999999999</v>
      </c>
      <c r="AF287" s="123" t="s">
        <v>117</v>
      </c>
      <c r="AG287" s="366">
        <v>24.3</v>
      </c>
      <c r="AH287" s="365">
        <v>18</v>
      </c>
      <c r="AI287" s="127">
        <v>2.0320499999999999</v>
      </c>
      <c r="AJ287" s="126">
        <f t="shared" si="19"/>
        <v>1.8699999999999999</v>
      </c>
      <c r="AK287" s="123" t="s">
        <v>117</v>
      </c>
      <c r="AL287" s="366">
        <v>24.3</v>
      </c>
      <c r="AM287" s="365">
        <v>18</v>
      </c>
      <c r="AN287" s="127">
        <v>2.0320499999999999</v>
      </c>
      <c r="AO287" s="126">
        <f t="shared" si="20"/>
        <v>1.8699999999999999</v>
      </c>
      <c r="AP287" s="123" t="s">
        <v>117</v>
      </c>
      <c r="AQ287" s="366">
        <v>24.3</v>
      </c>
      <c r="AR287" s="365">
        <v>18</v>
      </c>
      <c r="AS287" s="127">
        <v>2.0320499999999999</v>
      </c>
    </row>
    <row r="288" spans="11:45" x14ac:dyDescent="0.25">
      <c r="K288" s="122">
        <f t="shared" si="21"/>
        <v>2.0320499999999999</v>
      </c>
      <c r="L288" s="123" t="s">
        <v>118</v>
      </c>
      <c r="M288" s="366">
        <v>27.5</v>
      </c>
      <c r="N288" s="365">
        <v>18</v>
      </c>
      <c r="O288" s="127">
        <v>2.0320499999999999</v>
      </c>
      <c r="P288" s="126">
        <f t="shared" si="15"/>
        <v>2.0320499999999999</v>
      </c>
      <c r="Q288" s="123" t="s">
        <v>118</v>
      </c>
      <c r="R288" s="366">
        <v>27.5</v>
      </c>
      <c r="S288" s="365">
        <v>18</v>
      </c>
      <c r="T288" s="127">
        <v>2.0320499999999999</v>
      </c>
      <c r="U288" s="126">
        <f t="shared" si="16"/>
        <v>2.0320499999999999</v>
      </c>
      <c r="V288" s="123" t="s">
        <v>118</v>
      </c>
      <c r="W288" s="366">
        <v>27.5</v>
      </c>
      <c r="X288" s="365">
        <v>18</v>
      </c>
      <c r="Y288" s="127">
        <v>2.0320499999999999</v>
      </c>
      <c r="Z288" s="126">
        <f t="shared" si="17"/>
        <v>2.0320499999999999</v>
      </c>
      <c r="AA288" s="123" t="s">
        <v>118</v>
      </c>
      <c r="AB288" s="366">
        <v>27.5</v>
      </c>
      <c r="AC288" s="365">
        <v>18</v>
      </c>
      <c r="AD288" s="127">
        <v>2.0320499999999999</v>
      </c>
      <c r="AE288" s="122">
        <f t="shared" si="18"/>
        <v>2.0320499999999999</v>
      </c>
      <c r="AF288" s="123" t="s">
        <v>118</v>
      </c>
      <c r="AG288" s="366">
        <v>27.5</v>
      </c>
      <c r="AH288" s="365">
        <v>18</v>
      </c>
      <c r="AI288" s="127">
        <v>2.0320499999999999</v>
      </c>
      <c r="AJ288" s="126">
        <f t="shared" si="19"/>
        <v>2.0320499999999999</v>
      </c>
      <c r="AK288" s="123" t="s">
        <v>118</v>
      </c>
      <c r="AL288" s="366">
        <v>27.5</v>
      </c>
      <c r="AM288" s="365">
        <v>18</v>
      </c>
      <c r="AN288" s="127">
        <v>2.0320499999999999</v>
      </c>
      <c r="AO288" s="126">
        <f t="shared" si="20"/>
        <v>2.0320499999999999</v>
      </c>
      <c r="AP288" s="123" t="s">
        <v>118</v>
      </c>
      <c r="AQ288" s="366">
        <v>27.5</v>
      </c>
      <c r="AR288" s="365">
        <v>18</v>
      </c>
      <c r="AS288" s="127">
        <v>2.0320499999999999</v>
      </c>
    </row>
    <row r="289" spans="11:45" x14ac:dyDescent="0.25">
      <c r="K289" s="122">
        <f t="shared" si="21"/>
        <v>2.0320499999999999</v>
      </c>
      <c r="L289" s="123" t="s">
        <v>125</v>
      </c>
      <c r="M289" s="366">
        <v>13.8</v>
      </c>
      <c r="N289" s="365">
        <v>18</v>
      </c>
      <c r="O289" s="127">
        <v>2.1734999999999998</v>
      </c>
      <c r="P289" s="126">
        <f t="shared" si="15"/>
        <v>2.0320499999999999</v>
      </c>
      <c r="Q289" s="123" t="s">
        <v>125</v>
      </c>
      <c r="R289" s="366">
        <v>13.8</v>
      </c>
      <c r="S289" s="365">
        <v>18</v>
      </c>
      <c r="T289" s="127">
        <v>2.1734999999999998</v>
      </c>
      <c r="U289" s="126">
        <f t="shared" si="16"/>
        <v>2.0320499999999999</v>
      </c>
      <c r="V289" s="123" t="s">
        <v>125</v>
      </c>
      <c r="W289" s="366">
        <v>13.8</v>
      </c>
      <c r="X289" s="365">
        <v>18</v>
      </c>
      <c r="Y289" s="127">
        <v>2.1734999999999998</v>
      </c>
      <c r="Z289" s="126">
        <f t="shared" si="17"/>
        <v>2.0320499999999999</v>
      </c>
      <c r="AA289" s="123" t="s">
        <v>125</v>
      </c>
      <c r="AB289" s="366">
        <v>13.8</v>
      </c>
      <c r="AC289" s="365">
        <v>18</v>
      </c>
      <c r="AD289" s="127">
        <v>2.1734999999999998</v>
      </c>
      <c r="AE289" s="122">
        <f t="shared" si="18"/>
        <v>2.0320499999999999</v>
      </c>
      <c r="AF289" s="123" t="s">
        <v>125</v>
      </c>
      <c r="AG289" s="366">
        <v>13.8</v>
      </c>
      <c r="AH289" s="365">
        <v>18</v>
      </c>
      <c r="AI289" s="127">
        <v>2.1734999999999998</v>
      </c>
      <c r="AJ289" s="126">
        <f t="shared" si="19"/>
        <v>2.0320499999999999</v>
      </c>
      <c r="AK289" s="123" t="s">
        <v>125</v>
      </c>
      <c r="AL289" s="366">
        <v>13.8</v>
      </c>
      <c r="AM289" s="365">
        <v>18</v>
      </c>
      <c r="AN289" s="127">
        <v>2.1734999999999998</v>
      </c>
      <c r="AO289" s="126">
        <f t="shared" si="20"/>
        <v>2.0320499999999999</v>
      </c>
      <c r="AP289" s="123" t="s">
        <v>125</v>
      </c>
      <c r="AQ289" s="366">
        <v>13.8</v>
      </c>
      <c r="AR289" s="365">
        <v>18</v>
      </c>
      <c r="AS289" s="127">
        <v>2.1734999999999998</v>
      </c>
    </row>
    <row r="290" spans="11:45" x14ac:dyDescent="0.25">
      <c r="K290" s="122">
        <f t="shared" si="21"/>
        <v>2.1734999999999998</v>
      </c>
      <c r="L290" s="123" t="s">
        <v>119</v>
      </c>
      <c r="M290" s="366">
        <v>31.2</v>
      </c>
      <c r="N290" s="365">
        <v>18</v>
      </c>
      <c r="O290" s="127">
        <v>2.2102999999999997</v>
      </c>
      <c r="P290" s="154">
        <f t="shared" si="15"/>
        <v>2.1734999999999998</v>
      </c>
      <c r="Q290" s="123" t="s">
        <v>119</v>
      </c>
      <c r="R290" s="366">
        <v>31.2</v>
      </c>
      <c r="S290" s="365">
        <v>18</v>
      </c>
      <c r="T290" s="127">
        <v>2.2102999999999997</v>
      </c>
      <c r="U290" s="126">
        <f t="shared" si="16"/>
        <v>2.1734999999999998</v>
      </c>
      <c r="V290" s="123" t="s">
        <v>119</v>
      </c>
      <c r="W290" s="366">
        <v>31.2</v>
      </c>
      <c r="X290" s="365">
        <v>18</v>
      </c>
      <c r="Y290" s="127">
        <v>2.2102999999999997</v>
      </c>
      <c r="Z290" s="126">
        <f t="shared" si="17"/>
        <v>2.1734999999999998</v>
      </c>
      <c r="AA290" s="123" t="s">
        <v>119</v>
      </c>
      <c r="AB290" s="366">
        <v>31.2</v>
      </c>
      <c r="AC290" s="365">
        <v>18</v>
      </c>
      <c r="AD290" s="127">
        <v>2.2102999999999997</v>
      </c>
      <c r="AE290" s="122">
        <f t="shared" si="18"/>
        <v>2.1734999999999998</v>
      </c>
      <c r="AF290" s="123" t="s">
        <v>119</v>
      </c>
      <c r="AG290" s="366">
        <v>31.2</v>
      </c>
      <c r="AH290" s="365">
        <v>18</v>
      </c>
      <c r="AI290" s="127">
        <v>2.2102999999999997</v>
      </c>
      <c r="AJ290" s="126">
        <f t="shared" si="19"/>
        <v>2.1734999999999998</v>
      </c>
      <c r="AK290" s="123" t="s">
        <v>119</v>
      </c>
      <c r="AL290" s="366">
        <v>31.2</v>
      </c>
      <c r="AM290" s="365">
        <v>18</v>
      </c>
      <c r="AN290" s="127">
        <v>2.2102999999999997</v>
      </c>
      <c r="AO290" s="126">
        <f t="shared" si="20"/>
        <v>2.1734999999999998</v>
      </c>
      <c r="AP290" s="123" t="s">
        <v>119</v>
      </c>
      <c r="AQ290" s="366">
        <v>31.2</v>
      </c>
      <c r="AR290" s="365">
        <v>18</v>
      </c>
      <c r="AS290" s="127">
        <v>2.2102999999999997</v>
      </c>
    </row>
    <row r="291" spans="11:45" x14ac:dyDescent="0.25">
      <c r="K291" s="122">
        <f t="shared" si="21"/>
        <v>2.2102999999999997</v>
      </c>
      <c r="L291" s="123" t="s">
        <v>126</v>
      </c>
      <c r="M291" s="366">
        <v>16.2</v>
      </c>
      <c r="N291" s="365">
        <v>18</v>
      </c>
      <c r="O291" s="127">
        <v>2.2679999999999998</v>
      </c>
      <c r="P291" s="126">
        <f t="shared" si="15"/>
        <v>2.2102999999999997</v>
      </c>
      <c r="Q291" s="123" t="s">
        <v>126</v>
      </c>
      <c r="R291" s="366">
        <v>16.2</v>
      </c>
      <c r="S291" s="365">
        <v>18</v>
      </c>
      <c r="T291" s="127">
        <v>2.2679999999999998</v>
      </c>
      <c r="U291" s="126">
        <f t="shared" si="16"/>
        <v>2.2102999999999997</v>
      </c>
      <c r="V291" s="123" t="s">
        <v>126</v>
      </c>
      <c r="W291" s="366">
        <v>16.2</v>
      </c>
      <c r="X291" s="365">
        <v>18</v>
      </c>
      <c r="Y291" s="127">
        <v>2.2679999999999998</v>
      </c>
      <c r="Z291" s="126">
        <f t="shared" si="17"/>
        <v>2.2102999999999997</v>
      </c>
      <c r="AA291" s="123" t="s">
        <v>126</v>
      </c>
      <c r="AB291" s="366">
        <v>16.2</v>
      </c>
      <c r="AC291" s="365">
        <v>18</v>
      </c>
      <c r="AD291" s="127">
        <v>2.2679999999999998</v>
      </c>
      <c r="AE291" s="122">
        <f t="shared" si="18"/>
        <v>2.2102999999999997</v>
      </c>
      <c r="AF291" s="123" t="s">
        <v>126</v>
      </c>
      <c r="AG291" s="366">
        <v>16.2</v>
      </c>
      <c r="AH291" s="365">
        <v>18</v>
      </c>
      <c r="AI291" s="127">
        <v>2.2679999999999998</v>
      </c>
      <c r="AJ291" s="126">
        <f t="shared" si="19"/>
        <v>2.2102999999999997</v>
      </c>
      <c r="AK291" s="123" t="s">
        <v>126</v>
      </c>
      <c r="AL291" s="366">
        <v>16.2</v>
      </c>
      <c r="AM291" s="365">
        <v>18</v>
      </c>
      <c r="AN291" s="127">
        <v>2.2679999999999998</v>
      </c>
      <c r="AO291" s="126">
        <f t="shared" si="20"/>
        <v>2.2102999999999997</v>
      </c>
      <c r="AP291" s="123" t="s">
        <v>126</v>
      </c>
      <c r="AQ291" s="366">
        <v>16.2</v>
      </c>
      <c r="AR291" s="365">
        <v>18</v>
      </c>
      <c r="AS291" s="127">
        <v>2.2679999999999998</v>
      </c>
    </row>
    <row r="292" spans="11:45" x14ac:dyDescent="0.25">
      <c r="K292" s="122">
        <f t="shared" si="21"/>
        <v>2.2679999999999998</v>
      </c>
      <c r="L292" s="123" t="s">
        <v>128</v>
      </c>
      <c r="M292" s="366">
        <v>23.2</v>
      </c>
      <c r="N292" s="365">
        <v>18</v>
      </c>
      <c r="O292" s="127">
        <v>2.2679999999999998</v>
      </c>
      <c r="P292" s="126">
        <f t="shared" si="15"/>
        <v>2.2679999999999998</v>
      </c>
      <c r="Q292" s="123" t="s">
        <v>128</v>
      </c>
      <c r="R292" s="366">
        <v>23.2</v>
      </c>
      <c r="S292" s="365">
        <v>18</v>
      </c>
      <c r="T292" s="127">
        <v>2.2679999999999998</v>
      </c>
      <c r="U292" s="126">
        <f t="shared" si="16"/>
        <v>2.2679999999999998</v>
      </c>
      <c r="V292" s="123" t="s">
        <v>128</v>
      </c>
      <c r="W292" s="366">
        <v>23.2</v>
      </c>
      <c r="X292" s="365">
        <v>18</v>
      </c>
      <c r="Y292" s="127">
        <v>2.2679999999999998</v>
      </c>
      <c r="Z292" s="126">
        <f t="shared" si="17"/>
        <v>2.2679999999999998</v>
      </c>
      <c r="AA292" s="123" t="s">
        <v>128</v>
      </c>
      <c r="AB292" s="366">
        <v>23.2</v>
      </c>
      <c r="AC292" s="365">
        <v>18</v>
      </c>
      <c r="AD292" s="127">
        <v>2.2679999999999998</v>
      </c>
      <c r="AE292" s="122">
        <f t="shared" si="18"/>
        <v>2.2679999999999998</v>
      </c>
      <c r="AF292" s="123" t="s">
        <v>128</v>
      </c>
      <c r="AG292" s="366">
        <v>23.2</v>
      </c>
      <c r="AH292" s="365">
        <v>18</v>
      </c>
      <c r="AI292" s="127">
        <v>2.2679999999999998</v>
      </c>
      <c r="AJ292" s="126">
        <f t="shared" si="19"/>
        <v>2.2679999999999998</v>
      </c>
      <c r="AK292" s="123" t="s">
        <v>128</v>
      </c>
      <c r="AL292" s="366">
        <v>23.2</v>
      </c>
      <c r="AM292" s="365">
        <v>18</v>
      </c>
      <c r="AN292" s="127">
        <v>2.2679999999999998</v>
      </c>
      <c r="AO292" s="126">
        <f t="shared" si="20"/>
        <v>2.2679999999999998</v>
      </c>
      <c r="AP292" s="123" t="s">
        <v>128</v>
      </c>
      <c r="AQ292" s="366">
        <v>23.2</v>
      </c>
      <c r="AR292" s="365">
        <v>18</v>
      </c>
      <c r="AS292" s="127">
        <v>2.2679999999999998</v>
      </c>
    </row>
    <row r="293" spans="11:45" x14ac:dyDescent="0.25">
      <c r="K293" s="122">
        <f t="shared" si="21"/>
        <v>2.2679999999999998</v>
      </c>
      <c r="L293" s="123" t="s">
        <v>127</v>
      </c>
      <c r="M293" s="366">
        <v>18.8</v>
      </c>
      <c r="N293" s="365">
        <v>18</v>
      </c>
      <c r="O293" s="127">
        <v>2.3624999999999998</v>
      </c>
      <c r="P293" s="126">
        <f t="shared" si="15"/>
        <v>2.2679999999999998</v>
      </c>
      <c r="Q293" s="123" t="s">
        <v>142</v>
      </c>
      <c r="R293" s="366">
        <v>14.9</v>
      </c>
      <c r="S293" s="365">
        <v>24</v>
      </c>
      <c r="T293" s="127">
        <v>2.2920000000000003</v>
      </c>
      <c r="U293" s="126">
        <f t="shared" si="16"/>
        <v>2.2679999999999998</v>
      </c>
      <c r="V293" s="123" t="s">
        <v>142</v>
      </c>
      <c r="W293" s="366">
        <v>14.9</v>
      </c>
      <c r="X293" s="365">
        <v>24</v>
      </c>
      <c r="Y293" s="127">
        <v>2.2920000000000003</v>
      </c>
      <c r="Z293" s="126">
        <f t="shared" si="17"/>
        <v>2.2679999999999998</v>
      </c>
      <c r="AA293" s="123" t="s">
        <v>142</v>
      </c>
      <c r="AB293" s="366">
        <v>14.9</v>
      </c>
      <c r="AC293" s="365">
        <v>24</v>
      </c>
      <c r="AD293" s="127">
        <v>2.2920000000000003</v>
      </c>
      <c r="AE293" s="122">
        <f t="shared" si="18"/>
        <v>2.2679999999999998</v>
      </c>
      <c r="AF293" s="123" t="s">
        <v>142</v>
      </c>
      <c r="AG293" s="366">
        <v>14.9</v>
      </c>
      <c r="AH293" s="365">
        <v>24</v>
      </c>
      <c r="AI293" s="127">
        <v>2.2920000000000003</v>
      </c>
      <c r="AJ293" s="126">
        <f t="shared" si="19"/>
        <v>2.2679999999999998</v>
      </c>
      <c r="AK293" s="123" t="s">
        <v>142</v>
      </c>
      <c r="AL293" s="366">
        <v>14.9</v>
      </c>
      <c r="AM293" s="365">
        <v>24</v>
      </c>
      <c r="AN293" s="127">
        <v>2.2920000000000003</v>
      </c>
      <c r="AO293" s="126">
        <f t="shared" si="20"/>
        <v>2.2679999999999998</v>
      </c>
      <c r="AP293" s="123" t="s">
        <v>142</v>
      </c>
      <c r="AQ293" s="366">
        <v>14.9</v>
      </c>
      <c r="AR293" s="365">
        <v>24</v>
      </c>
      <c r="AS293" s="127">
        <v>2.2920000000000003</v>
      </c>
    </row>
    <row r="294" spans="11:45" x14ac:dyDescent="0.25">
      <c r="K294" s="122">
        <f t="shared" si="21"/>
        <v>2.3624999999999998</v>
      </c>
      <c r="L294" s="123" t="s">
        <v>129</v>
      </c>
      <c r="M294" s="366">
        <v>27.9</v>
      </c>
      <c r="N294" s="365">
        <v>18</v>
      </c>
      <c r="O294" s="127">
        <v>2.4569999999999999</v>
      </c>
      <c r="P294" s="126">
        <f t="shared" si="15"/>
        <v>2.2920000000000003</v>
      </c>
      <c r="Q294" s="123" t="s">
        <v>127</v>
      </c>
      <c r="R294" s="366">
        <v>18.8</v>
      </c>
      <c r="S294" s="365">
        <v>18</v>
      </c>
      <c r="T294" s="127">
        <v>2.3624999999999998</v>
      </c>
      <c r="U294" s="126">
        <f t="shared" si="16"/>
        <v>2.2920000000000003</v>
      </c>
      <c r="V294" s="123" t="s">
        <v>127</v>
      </c>
      <c r="W294" s="366">
        <v>18.8</v>
      </c>
      <c r="X294" s="365">
        <v>18</v>
      </c>
      <c r="Y294" s="127">
        <v>2.3624999999999998</v>
      </c>
      <c r="Z294" s="126">
        <f t="shared" si="17"/>
        <v>2.2920000000000003</v>
      </c>
      <c r="AA294" s="123" t="s">
        <v>127</v>
      </c>
      <c r="AB294" s="366">
        <v>18.8</v>
      </c>
      <c r="AC294" s="365">
        <v>18</v>
      </c>
      <c r="AD294" s="127">
        <v>2.3624999999999998</v>
      </c>
      <c r="AE294" s="122">
        <f t="shared" si="18"/>
        <v>2.2920000000000003</v>
      </c>
      <c r="AF294" s="123" t="s">
        <v>127</v>
      </c>
      <c r="AG294" s="366">
        <v>18.8</v>
      </c>
      <c r="AH294" s="365">
        <v>18</v>
      </c>
      <c r="AI294" s="127">
        <v>2.3624999999999998</v>
      </c>
      <c r="AJ294" s="126">
        <f t="shared" si="19"/>
        <v>2.2920000000000003</v>
      </c>
      <c r="AK294" s="123" t="s">
        <v>127</v>
      </c>
      <c r="AL294" s="366">
        <v>18.8</v>
      </c>
      <c r="AM294" s="365">
        <v>18</v>
      </c>
      <c r="AN294" s="127">
        <v>2.3624999999999998</v>
      </c>
      <c r="AO294" s="126">
        <f t="shared" si="20"/>
        <v>2.2920000000000003</v>
      </c>
      <c r="AP294" s="123" t="s">
        <v>127</v>
      </c>
      <c r="AQ294" s="366">
        <v>18.8</v>
      </c>
      <c r="AR294" s="365">
        <v>18</v>
      </c>
      <c r="AS294" s="127">
        <v>2.3624999999999998</v>
      </c>
    </row>
    <row r="295" spans="11:45" x14ac:dyDescent="0.25">
      <c r="K295" s="122">
        <f t="shared" si="21"/>
        <v>2.4569999999999999</v>
      </c>
      <c r="L295" s="123" t="s">
        <v>120</v>
      </c>
      <c r="M295" s="366">
        <v>35.5</v>
      </c>
      <c r="N295" s="365">
        <v>18</v>
      </c>
      <c r="O295" s="127">
        <v>2.5667999999999997</v>
      </c>
      <c r="P295" s="126">
        <f t="shared" si="15"/>
        <v>2.3624999999999998</v>
      </c>
      <c r="Q295" s="123" t="s">
        <v>129</v>
      </c>
      <c r="R295" s="366">
        <v>27.9</v>
      </c>
      <c r="S295" s="365">
        <v>18</v>
      </c>
      <c r="T295" s="127">
        <v>2.4569999999999999</v>
      </c>
      <c r="U295" s="126">
        <f t="shared" si="16"/>
        <v>2.3624999999999998</v>
      </c>
      <c r="V295" s="123" t="s">
        <v>129</v>
      </c>
      <c r="W295" s="366">
        <v>27.9</v>
      </c>
      <c r="X295" s="365">
        <v>18</v>
      </c>
      <c r="Y295" s="127">
        <v>2.4569999999999999</v>
      </c>
      <c r="Z295" s="126">
        <f t="shared" si="17"/>
        <v>2.3624999999999998</v>
      </c>
      <c r="AA295" s="123" t="s">
        <v>129</v>
      </c>
      <c r="AB295" s="366">
        <v>27.9</v>
      </c>
      <c r="AC295" s="365">
        <v>18</v>
      </c>
      <c r="AD295" s="127">
        <v>2.4569999999999999</v>
      </c>
      <c r="AE295" s="122">
        <f t="shared" si="18"/>
        <v>2.3624999999999998</v>
      </c>
      <c r="AF295" s="123" t="s">
        <v>129</v>
      </c>
      <c r="AG295" s="366">
        <v>27.9</v>
      </c>
      <c r="AH295" s="365">
        <v>18</v>
      </c>
      <c r="AI295" s="127">
        <v>2.4569999999999999</v>
      </c>
      <c r="AJ295" s="126">
        <f t="shared" si="19"/>
        <v>2.3624999999999998</v>
      </c>
      <c r="AK295" s="123" t="s">
        <v>129</v>
      </c>
      <c r="AL295" s="366">
        <v>27.9</v>
      </c>
      <c r="AM295" s="365">
        <v>18</v>
      </c>
      <c r="AN295" s="127">
        <v>2.4569999999999999</v>
      </c>
      <c r="AO295" s="126">
        <f t="shared" si="20"/>
        <v>2.3624999999999998</v>
      </c>
      <c r="AP295" s="123" t="s">
        <v>129</v>
      </c>
      <c r="AQ295" s="366">
        <v>27.9</v>
      </c>
      <c r="AR295" s="365">
        <v>18</v>
      </c>
      <c r="AS295" s="127">
        <v>2.4569999999999999</v>
      </c>
    </row>
    <row r="296" spans="11:45" x14ac:dyDescent="0.25">
      <c r="K296" s="122">
        <f t="shared" si="21"/>
        <v>2.5667999999999997</v>
      </c>
      <c r="L296" s="123" t="s">
        <v>130</v>
      </c>
      <c r="M296" s="366">
        <v>32.4</v>
      </c>
      <c r="N296" s="365">
        <v>18</v>
      </c>
      <c r="O296" s="127">
        <v>2.8350000000000004</v>
      </c>
      <c r="P296" s="126">
        <f t="shared" si="15"/>
        <v>2.4569999999999999</v>
      </c>
      <c r="Q296" s="123" t="s">
        <v>143</v>
      </c>
      <c r="R296" s="366">
        <v>17.100000000000001</v>
      </c>
      <c r="S296" s="365">
        <v>24</v>
      </c>
      <c r="T296" s="127">
        <v>2.5212000000000003</v>
      </c>
      <c r="U296" s="126">
        <f t="shared" si="16"/>
        <v>2.4569999999999999</v>
      </c>
      <c r="V296" s="123" t="s">
        <v>143</v>
      </c>
      <c r="W296" s="366">
        <v>17.100000000000001</v>
      </c>
      <c r="X296" s="365">
        <v>24</v>
      </c>
      <c r="Y296" s="127">
        <v>2.5212000000000003</v>
      </c>
      <c r="Z296" s="126">
        <f t="shared" si="17"/>
        <v>2.4569999999999999</v>
      </c>
      <c r="AA296" s="123" t="s">
        <v>143</v>
      </c>
      <c r="AB296" s="366">
        <v>17.100000000000001</v>
      </c>
      <c r="AC296" s="365">
        <v>24</v>
      </c>
      <c r="AD296" s="127">
        <v>2.5212000000000003</v>
      </c>
      <c r="AE296" s="122">
        <f t="shared" si="18"/>
        <v>2.4569999999999999</v>
      </c>
      <c r="AF296" s="123" t="s">
        <v>143</v>
      </c>
      <c r="AG296" s="366">
        <v>17.100000000000001</v>
      </c>
      <c r="AH296" s="365">
        <v>24</v>
      </c>
      <c r="AI296" s="127">
        <v>2.5212000000000003</v>
      </c>
      <c r="AJ296" s="126">
        <f t="shared" si="19"/>
        <v>2.4569999999999999</v>
      </c>
      <c r="AK296" s="123" t="s">
        <v>143</v>
      </c>
      <c r="AL296" s="366">
        <v>17.100000000000001</v>
      </c>
      <c r="AM296" s="365">
        <v>24</v>
      </c>
      <c r="AN296" s="127">
        <v>2.5212000000000003</v>
      </c>
      <c r="AO296" s="126">
        <f t="shared" si="20"/>
        <v>2.4569999999999999</v>
      </c>
      <c r="AP296" s="123" t="s">
        <v>143</v>
      </c>
      <c r="AQ296" s="366">
        <v>17.100000000000001</v>
      </c>
      <c r="AR296" s="365">
        <v>24</v>
      </c>
      <c r="AS296" s="127">
        <v>2.5212000000000003</v>
      </c>
    </row>
    <row r="297" spans="11:45" x14ac:dyDescent="0.25">
      <c r="K297" s="122">
        <f t="shared" si="21"/>
        <v>2.8350000000000004</v>
      </c>
      <c r="L297" s="123" t="s">
        <v>121</v>
      </c>
      <c r="M297" s="366">
        <v>43.3</v>
      </c>
      <c r="N297" s="365">
        <v>18</v>
      </c>
      <c r="O297" s="127">
        <v>2.8520000000000003</v>
      </c>
      <c r="P297" s="154">
        <f t="shared" si="15"/>
        <v>2.5212000000000003</v>
      </c>
      <c r="Q297" s="123" t="s">
        <v>120</v>
      </c>
      <c r="R297" s="366">
        <v>35.5</v>
      </c>
      <c r="S297" s="365">
        <v>18</v>
      </c>
      <c r="T297" s="127">
        <v>2.5667999999999997</v>
      </c>
      <c r="U297" s="126">
        <f t="shared" si="16"/>
        <v>2.5212000000000003</v>
      </c>
      <c r="V297" s="123" t="s">
        <v>120</v>
      </c>
      <c r="W297" s="366">
        <v>35.5</v>
      </c>
      <c r="X297" s="365">
        <v>18</v>
      </c>
      <c r="Y297" s="127">
        <v>2.5667999999999997</v>
      </c>
      <c r="Z297" s="126">
        <f t="shared" si="17"/>
        <v>2.5212000000000003</v>
      </c>
      <c r="AA297" s="123" t="s">
        <v>120</v>
      </c>
      <c r="AB297" s="366">
        <v>35.5</v>
      </c>
      <c r="AC297" s="365">
        <v>18</v>
      </c>
      <c r="AD297" s="127">
        <v>2.5667999999999997</v>
      </c>
      <c r="AE297" s="122">
        <f t="shared" si="18"/>
        <v>2.5212000000000003</v>
      </c>
      <c r="AF297" s="123" t="s">
        <v>120</v>
      </c>
      <c r="AG297" s="366">
        <v>35.5</v>
      </c>
      <c r="AH297" s="365">
        <v>18</v>
      </c>
      <c r="AI297" s="127">
        <v>2.5667999999999997</v>
      </c>
      <c r="AJ297" s="126">
        <f t="shared" si="19"/>
        <v>2.5212000000000003</v>
      </c>
      <c r="AK297" s="123" t="s">
        <v>120</v>
      </c>
      <c r="AL297" s="366">
        <v>35.5</v>
      </c>
      <c r="AM297" s="365">
        <v>18</v>
      </c>
      <c r="AN297" s="127">
        <v>2.5667999999999997</v>
      </c>
      <c r="AO297" s="126">
        <f t="shared" si="20"/>
        <v>2.5212000000000003</v>
      </c>
      <c r="AP297" s="123" t="s">
        <v>120</v>
      </c>
      <c r="AQ297" s="366">
        <v>35.5</v>
      </c>
      <c r="AR297" s="365">
        <v>18</v>
      </c>
      <c r="AS297" s="127">
        <v>2.5667999999999997</v>
      </c>
    </row>
    <row r="298" spans="11:45" x14ac:dyDescent="0.25">
      <c r="K298" s="122">
        <f t="shared" si="21"/>
        <v>2.8520000000000003</v>
      </c>
      <c r="L298" s="123" t="s">
        <v>87</v>
      </c>
      <c r="M298" s="367">
        <v>29.8</v>
      </c>
      <c r="N298" s="365">
        <v>18</v>
      </c>
      <c r="O298" s="127">
        <v>3.1728499999999999</v>
      </c>
      <c r="P298" s="154">
        <f t="shared" si="15"/>
        <v>2.5667999999999997</v>
      </c>
      <c r="Q298" s="123" t="s">
        <v>131</v>
      </c>
      <c r="R298" s="366">
        <v>35</v>
      </c>
      <c r="S298" s="365">
        <v>24</v>
      </c>
      <c r="T298" s="127">
        <v>2.5694000000000004</v>
      </c>
      <c r="U298" s="126">
        <f t="shared" si="16"/>
        <v>2.5667999999999997</v>
      </c>
      <c r="V298" s="123" t="s">
        <v>131</v>
      </c>
      <c r="W298" s="366">
        <v>35</v>
      </c>
      <c r="X298" s="365">
        <v>24</v>
      </c>
      <c r="Y298" s="127">
        <v>2.5694000000000004</v>
      </c>
      <c r="Z298" s="126">
        <f t="shared" si="17"/>
        <v>2.5667999999999997</v>
      </c>
      <c r="AA298" s="123" t="s">
        <v>131</v>
      </c>
      <c r="AB298" s="366">
        <v>35</v>
      </c>
      <c r="AC298" s="365">
        <v>24</v>
      </c>
      <c r="AD298" s="127">
        <v>2.5694000000000004</v>
      </c>
      <c r="AE298" s="122">
        <f t="shared" si="18"/>
        <v>2.5667999999999997</v>
      </c>
      <c r="AF298" s="123" t="s">
        <v>131</v>
      </c>
      <c r="AG298" s="366">
        <v>35</v>
      </c>
      <c r="AH298" s="365">
        <v>24</v>
      </c>
      <c r="AI298" s="127">
        <v>2.5694000000000004</v>
      </c>
      <c r="AJ298" s="126">
        <f t="shared" si="19"/>
        <v>2.5667999999999997</v>
      </c>
      <c r="AK298" s="123" t="s">
        <v>131</v>
      </c>
      <c r="AL298" s="366">
        <v>35</v>
      </c>
      <c r="AM298" s="365">
        <v>24</v>
      </c>
      <c r="AN298" s="127">
        <v>2.5694000000000004</v>
      </c>
      <c r="AO298" s="126">
        <f t="shared" si="20"/>
        <v>2.5667999999999997</v>
      </c>
      <c r="AP298" s="123" t="s">
        <v>131</v>
      </c>
      <c r="AQ298" s="366">
        <v>35</v>
      </c>
      <c r="AR298" s="365">
        <v>24</v>
      </c>
      <c r="AS298" s="127">
        <v>2.5694000000000004</v>
      </c>
    </row>
    <row r="299" spans="11:45" ht="15.75" thickBot="1" x14ac:dyDescent="0.3">
      <c r="K299" s="122">
        <f t="shared" si="21"/>
        <v>3.1728499999999999</v>
      </c>
      <c r="L299" s="148" t="s">
        <v>122</v>
      </c>
      <c r="M299" s="376">
        <v>52</v>
      </c>
      <c r="N299" s="369">
        <v>18</v>
      </c>
      <c r="O299" s="203">
        <v>3.6362999999999999</v>
      </c>
      <c r="P299" s="154">
        <f t="shared" si="15"/>
        <v>2.5694000000000004</v>
      </c>
      <c r="Q299" s="123" t="s">
        <v>146</v>
      </c>
      <c r="R299" s="366">
        <v>33.4</v>
      </c>
      <c r="S299" s="365">
        <v>24</v>
      </c>
      <c r="T299" s="127">
        <v>2.6358000000000001</v>
      </c>
      <c r="U299" s="126">
        <f t="shared" si="16"/>
        <v>2.5694000000000004</v>
      </c>
      <c r="V299" s="123" t="s">
        <v>146</v>
      </c>
      <c r="W299" s="366">
        <v>33.4</v>
      </c>
      <c r="X299" s="365">
        <v>24</v>
      </c>
      <c r="Y299" s="127">
        <v>2.6358000000000001</v>
      </c>
      <c r="Z299" s="126">
        <f t="shared" si="17"/>
        <v>2.5694000000000004</v>
      </c>
      <c r="AA299" s="123" t="s">
        <v>146</v>
      </c>
      <c r="AB299" s="366">
        <v>33.4</v>
      </c>
      <c r="AC299" s="365">
        <v>24</v>
      </c>
      <c r="AD299" s="127">
        <v>2.6358000000000001</v>
      </c>
      <c r="AE299" s="122">
        <f t="shared" si="18"/>
        <v>2.5694000000000004</v>
      </c>
      <c r="AF299" s="123" t="s">
        <v>146</v>
      </c>
      <c r="AG299" s="366">
        <v>33.4</v>
      </c>
      <c r="AH299" s="365">
        <v>24</v>
      </c>
      <c r="AI299" s="127">
        <v>2.6358000000000001</v>
      </c>
      <c r="AJ299" s="126">
        <f t="shared" si="19"/>
        <v>2.5694000000000004</v>
      </c>
      <c r="AK299" s="123" t="s">
        <v>146</v>
      </c>
      <c r="AL299" s="366">
        <v>33.4</v>
      </c>
      <c r="AM299" s="365">
        <v>24</v>
      </c>
      <c r="AN299" s="127">
        <v>2.6358000000000001</v>
      </c>
      <c r="AO299" s="126">
        <f t="shared" si="20"/>
        <v>2.5694000000000004</v>
      </c>
      <c r="AP299" s="123" t="s">
        <v>146</v>
      </c>
      <c r="AQ299" s="366">
        <v>33.4</v>
      </c>
      <c r="AR299" s="365">
        <v>24</v>
      </c>
      <c r="AS299" s="127">
        <v>2.6358000000000001</v>
      </c>
    </row>
    <row r="300" spans="11:45" ht="15.75" thickBot="1" x14ac:dyDescent="0.3">
      <c r="K300" s="151">
        <f t="shared" si="21"/>
        <v>3.6362999999999999</v>
      </c>
      <c r="L300" s="152" t="s">
        <v>353</v>
      </c>
      <c r="M300" s="153"/>
      <c r="N300" s="153"/>
      <c r="O300" s="377"/>
      <c r="P300" s="126">
        <f t="shared" si="15"/>
        <v>2.6358000000000001</v>
      </c>
      <c r="Q300" s="123" t="s">
        <v>144</v>
      </c>
      <c r="R300" s="366">
        <v>21.3</v>
      </c>
      <c r="S300" s="365">
        <v>24</v>
      </c>
      <c r="T300" s="127">
        <v>2.6930999999999998</v>
      </c>
      <c r="U300" s="126">
        <f t="shared" si="16"/>
        <v>2.6358000000000001</v>
      </c>
      <c r="V300" s="123" t="s">
        <v>144</v>
      </c>
      <c r="W300" s="366">
        <v>21.3</v>
      </c>
      <c r="X300" s="365">
        <v>24</v>
      </c>
      <c r="Y300" s="127">
        <v>2.6930999999999998</v>
      </c>
      <c r="Z300" s="126">
        <f t="shared" si="17"/>
        <v>2.6358000000000001</v>
      </c>
      <c r="AA300" s="123" t="s">
        <v>144</v>
      </c>
      <c r="AB300" s="366">
        <v>21.3</v>
      </c>
      <c r="AC300" s="365">
        <v>24</v>
      </c>
      <c r="AD300" s="127">
        <v>2.6930999999999998</v>
      </c>
      <c r="AE300" s="122">
        <f t="shared" si="18"/>
        <v>2.6358000000000001</v>
      </c>
      <c r="AF300" s="123" t="s">
        <v>144</v>
      </c>
      <c r="AG300" s="366">
        <v>21.3</v>
      </c>
      <c r="AH300" s="365">
        <v>24</v>
      </c>
      <c r="AI300" s="127">
        <v>2.6930999999999998</v>
      </c>
      <c r="AJ300" s="126">
        <f t="shared" si="19"/>
        <v>2.6358000000000001</v>
      </c>
      <c r="AK300" s="123" t="s">
        <v>144</v>
      </c>
      <c r="AL300" s="366">
        <v>21.3</v>
      </c>
      <c r="AM300" s="365">
        <v>24</v>
      </c>
      <c r="AN300" s="127">
        <v>2.6930999999999998</v>
      </c>
      <c r="AO300" s="126">
        <f t="shared" si="20"/>
        <v>2.6358000000000001</v>
      </c>
      <c r="AP300" s="123" t="s">
        <v>144</v>
      </c>
      <c r="AQ300" s="366">
        <v>21.3</v>
      </c>
      <c r="AR300" s="365">
        <v>24</v>
      </c>
      <c r="AS300" s="127">
        <v>2.6930999999999998</v>
      </c>
    </row>
    <row r="301" spans="11:45" x14ac:dyDescent="0.25">
      <c r="K301" s="125"/>
      <c r="L301" s="166"/>
      <c r="M301" s="166"/>
      <c r="N301" s="166"/>
      <c r="O301" s="166"/>
      <c r="P301" s="154">
        <f t="shared" si="15"/>
        <v>2.6930999999999998</v>
      </c>
      <c r="Q301" s="123" t="s">
        <v>132</v>
      </c>
      <c r="R301" s="366">
        <v>42.1</v>
      </c>
      <c r="S301" s="365">
        <v>24</v>
      </c>
      <c r="T301" s="127">
        <v>2.7908999999999997</v>
      </c>
      <c r="U301" s="126">
        <f t="shared" si="16"/>
        <v>2.6930999999999998</v>
      </c>
      <c r="V301" s="123" t="s">
        <v>132</v>
      </c>
      <c r="W301" s="366">
        <v>42.1</v>
      </c>
      <c r="X301" s="365">
        <v>24</v>
      </c>
      <c r="Y301" s="127">
        <v>2.7908999999999997</v>
      </c>
      <c r="Z301" s="126">
        <f t="shared" si="17"/>
        <v>2.6930999999999998</v>
      </c>
      <c r="AA301" s="123" t="s">
        <v>132</v>
      </c>
      <c r="AB301" s="366">
        <v>42.1</v>
      </c>
      <c r="AC301" s="365">
        <v>24</v>
      </c>
      <c r="AD301" s="127">
        <v>2.7908999999999997</v>
      </c>
      <c r="AE301" s="122">
        <f t="shared" si="18"/>
        <v>2.6930999999999998</v>
      </c>
      <c r="AF301" s="123" t="s">
        <v>132</v>
      </c>
      <c r="AG301" s="366">
        <v>42.1</v>
      </c>
      <c r="AH301" s="365">
        <v>24</v>
      </c>
      <c r="AI301" s="127">
        <v>2.7908999999999997</v>
      </c>
      <c r="AJ301" s="126">
        <f t="shared" si="19"/>
        <v>2.6930999999999998</v>
      </c>
      <c r="AK301" s="123" t="s">
        <v>132</v>
      </c>
      <c r="AL301" s="366">
        <v>42.1</v>
      </c>
      <c r="AM301" s="365">
        <v>24</v>
      </c>
      <c r="AN301" s="127">
        <v>2.7908999999999997</v>
      </c>
      <c r="AO301" s="126">
        <f t="shared" si="20"/>
        <v>2.6930999999999998</v>
      </c>
      <c r="AP301" s="123" t="s">
        <v>132</v>
      </c>
      <c r="AQ301" s="366">
        <v>42.1</v>
      </c>
      <c r="AR301" s="365">
        <v>24</v>
      </c>
      <c r="AS301" s="127">
        <v>2.7908999999999997</v>
      </c>
    </row>
    <row r="302" spans="11:45" x14ac:dyDescent="0.25">
      <c r="K302" s="125"/>
      <c r="L302" s="166"/>
      <c r="M302" s="166"/>
      <c r="N302" s="166"/>
      <c r="O302" s="166"/>
      <c r="P302" s="154">
        <f t="shared" si="15"/>
        <v>2.7908999999999997</v>
      </c>
      <c r="Q302" s="123" t="s">
        <v>130</v>
      </c>
      <c r="R302" s="366">
        <v>32.4</v>
      </c>
      <c r="S302" s="365">
        <v>18</v>
      </c>
      <c r="T302" s="127">
        <v>2.8350000000000004</v>
      </c>
      <c r="U302" s="126">
        <f t="shared" si="16"/>
        <v>2.7908999999999997</v>
      </c>
      <c r="V302" s="123" t="s">
        <v>130</v>
      </c>
      <c r="W302" s="366">
        <v>32.4</v>
      </c>
      <c r="X302" s="365">
        <v>18</v>
      </c>
      <c r="Y302" s="127">
        <v>2.8350000000000004</v>
      </c>
      <c r="Z302" s="126">
        <f t="shared" si="17"/>
        <v>2.7908999999999997</v>
      </c>
      <c r="AA302" s="123" t="s">
        <v>130</v>
      </c>
      <c r="AB302" s="366">
        <v>32.4</v>
      </c>
      <c r="AC302" s="365">
        <v>18</v>
      </c>
      <c r="AD302" s="127">
        <v>2.8350000000000004</v>
      </c>
      <c r="AE302" s="122">
        <f t="shared" si="18"/>
        <v>2.7908999999999997</v>
      </c>
      <c r="AF302" s="123" t="s">
        <v>130</v>
      </c>
      <c r="AG302" s="366">
        <v>32.4</v>
      </c>
      <c r="AH302" s="365">
        <v>18</v>
      </c>
      <c r="AI302" s="127">
        <v>2.8350000000000004</v>
      </c>
      <c r="AJ302" s="126">
        <f t="shared" si="19"/>
        <v>2.7908999999999997</v>
      </c>
      <c r="AK302" s="123" t="s">
        <v>130</v>
      </c>
      <c r="AL302" s="366">
        <v>32.4</v>
      </c>
      <c r="AM302" s="365">
        <v>18</v>
      </c>
      <c r="AN302" s="127">
        <v>2.8350000000000004</v>
      </c>
      <c r="AO302" s="126">
        <f t="shared" si="20"/>
        <v>2.7908999999999997</v>
      </c>
      <c r="AP302" s="123" t="s">
        <v>130</v>
      </c>
      <c r="AQ302" s="366">
        <v>32.4</v>
      </c>
      <c r="AR302" s="365">
        <v>18</v>
      </c>
      <c r="AS302" s="127">
        <v>2.8350000000000004</v>
      </c>
    </row>
    <row r="303" spans="11:45" x14ac:dyDescent="0.25">
      <c r="K303" s="125"/>
      <c r="L303" s="166"/>
      <c r="M303" s="166"/>
      <c r="N303" s="166"/>
      <c r="O303" s="166"/>
      <c r="P303" s="154">
        <f t="shared" si="15"/>
        <v>2.8350000000000004</v>
      </c>
      <c r="Q303" s="123" t="s">
        <v>121</v>
      </c>
      <c r="R303" s="366">
        <v>43.3</v>
      </c>
      <c r="S303" s="365">
        <v>18</v>
      </c>
      <c r="T303" s="127">
        <v>2.8520000000000003</v>
      </c>
      <c r="U303" s="126">
        <f t="shared" si="16"/>
        <v>2.8350000000000004</v>
      </c>
      <c r="V303" s="123" t="s">
        <v>121</v>
      </c>
      <c r="W303" s="366">
        <v>43.3</v>
      </c>
      <c r="X303" s="365">
        <v>18</v>
      </c>
      <c r="Y303" s="127">
        <v>2.8520000000000003</v>
      </c>
      <c r="Z303" s="126">
        <f t="shared" si="17"/>
        <v>2.8350000000000004</v>
      </c>
      <c r="AA303" s="123" t="s">
        <v>121</v>
      </c>
      <c r="AB303" s="366">
        <v>43.3</v>
      </c>
      <c r="AC303" s="365">
        <v>18</v>
      </c>
      <c r="AD303" s="127">
        <v>2.8520000000000003</v>
      </c>
      <c r="AE303" s="122">
        <f t="shared" si="18"/>
        <v>2.8350000000000004</v>
      </c>
      <c r="AF303" s="123" t="s">
        <v>121</v>
      </c>
      <c r="AG303" s="366">
        <v>43.3</v>
      </c>
      <c r="AH303" s="365">
        <v>18</v>
      </c>
      <c r="AI303" s="127">
        <v>2.8520000000000003</v>
      </c>
      <c r="AJ303" s="126">
        <f t="shared" si="19"/>
        <v>2.8350000000000004</v>
      </c>
      <c r="AK303" s="123" t="s">
        <v>121</v>
      </c>
      <c r="AL303" s="366">
        <v>43.3</v>
      </c>
      <c r="AM303" s="365">
        <v>18</v>
      </c>
      <c r="AN303" s="127">
        <v>2.8520000000000003</v>
      </c>
      <c r="AO303" s="126">
        <f t="shared" si="20"/>
        <v>2.8350000000000004</v>
      </c>
      <c r="AP303" s="123" t="s">
        <v>121</v>
      </c>
      <c r="AQ303" s="366">
        <v>43.3</v>
      </c>
      <c r="AR303" s="365">
        <v>18</v>
      </c>
      <c r="AS303" s="127">
        <v>2.8520000000000003</v>
      </c>
    </row>
    <row r="304" spans="11:45" x14ac:dyDescent="0.25">
      <c r="K304" s="125"/>
      <c r="L304" s="166"/>
      <c r="M304" s="166"/>
      <c r="N304" s="166"/>
      <c r="O304" s="166"/>
      <c r="P304" s="154">
        <f t="shared" si="15"/>
        <v>2.8520000000000003</v>
      </c>
      <c r="Q304" s="123" t="s">
        <v>147</v>
      </c>
      <c r="R304" s="366">
        <v>38.6</v>
      </c>
      <c r="S304" s="365">
        <v>24</v>
      </c>
      <c r="T304" s="127">
        <v>2.9796</v>
      </c>
      <c r="U304" s="126">
        <f t="shared" ref="U304:U335" si="22">Y303</f>
        <v>2.8520000000000003</v>
      </c>
      <c r="V304" s="123" t="s">
        <v>147</v>
      </c>
      <c r="W304" s="366">
        <v>38.6</v>
      </c>
      <c r="X304" s="365">
        <v>24</v>
      </c>
      <c r="Y304" s="127">
        <v>2.9796</v>
      </c>
      <c r="Z304" s="126">
        <f t="shared" ref="Z304:Z335" si="23">AD303</f>
        <v>2.8520000000000003</v>
      </c>
      <c r="AA304" s="123" t="s">
        <v>147</v>
      </c>
      <c r="AB304" s="366">
        <v>38.6</v>
      </c>
      <c r="AC304" s="365">
        <v>24</v>
      </c>
      <c r="AD304" s="127">
        <v>2.9796</v>
      </c>
      <c r="AE304" s="122">
        <f t="shared" si="18"/>
        <v>2.8520000000000003</v>
      </c>
      <c r="AF304" s="123" t="s">
        <v>147</v>
      </c>
      <c r="AG304" s="366">
        <v>38.6</v>
      </c>
      <c r="AH304" s="365">
        <v>24</v>
      </c>
      <c r="AI304" s="127">
        <v>2.9796</v>
      </c>
      <c r="AJ304" s="126">
        <f t="shared" si="19"/>
        <v>2.8520000000000003</v>
      </c>
      <c r="AK304" s="123" t="s">
        <v>147</v>
      </c>
      <c r="AL304" s="366">
        <v>38.6</v>
      </c>
      <c r="AM304" s="365">
        <v>24</v>
      </c>
      <c r="AN304" s="127">
        <v>2.9796</v>
      </c>
      <c r="AO304" s="126">
        <f t="shared" si="20"/>
        <v>2.8520000000000003</v>
      </c>
      <c r="AP304" s="123" t="s">
        <v>147</v>
      </c>
      <c r="AQ304" s="366">
        <v>38.6</v>
      </c>
      <c r="AR304" s="365">
        <v>24</v>
      </c>
      <c r="AS304" s="127">
        <v>2.9796</v>
      </c>
    </row>
    <row r="305" spans="11:45" x14ac:dyDescent="0.25">
      <c r="K305" s="125"/>
      <c r="L305" s="166"/>
      <c r="M305" s="166"/>
      <c r="N305" s="166"/>
      <c r="O305" s="166"/>
      <c r="P305" s="126">
        <f t="shared" si="15"/>
        <v>2.9796</v>
      </c>
      <c r="Q305" s="123" t="s">
        <v>145</v>
      </c>
      <c r="R305" s="366">
        <v>25.4</v>
      </c>
      <c r="S305" s="365">
        <v>24</v>
      </c>
      <c r="T305" s="127">
        <v>2.9796000000000005</v>
      </c>
      <c r="U305" s="126">
        <f t="shared" si="22"/>
        <v>2.9796</v>
      </c>
      <c r="V305" s="123" t="s">
        <v>145</v>
      </c>
      <c r="W305" s="366">
        <v>25.4</v>
      </c>
      <c r="X305" s="365">
        <v>24</v>
      </c>
      <c r="Y305" s="127">
        <v>2.9796000000000005</v>
      </c>
      <c r="Z305" s="126">
        <f t="shared" si="23"/>
        <v>2.9796</v>
      </c>
      <c r="AA305" s="123" t="s">
        <v>145</v>
      </c>
      <c r="AB305" s="366">
        <v>25.4</v>
      </c>
      <c r="AC305" s="365">
        <v>24</v>
      </c>
      <c r="AD305" s="127">
        <v>2.9796000000000005</v>
      </c>
      <c r="AE305" s="122">
        <f t="shared" si="18"/>
        <v>2.9796</v>
      </c>
      <c r="AF305" s="123" t="s">
        <v>145</v>
      </c>
      <c r="AG305" s="366">
        <v>25.4</v>
      </c>
      <c r="AH305" s="365">
        <v>24</v>
      </c>
      <c r="AI305" s="127">
        <v>2.9796000000000005</v>
      </c>
      <c r="AJ305" s="126">
        <f t="shared" si="19"/>
        <v>2.9796</v>
      </c>
      <c r="AK305" s="123" t="s">
        <v>145</v>
      </c>
      <c r="AL305" s="366">
        <v>25.4</v>
      </c>
      <c r="AM305" s="365">
        <v>24</v>
      </c>
      <c r="AN305" s="127">
        <v>2.9796000000000005</v>
      </c>
      <c r="AO305" s="126">
        <f t="shared" si="20"/>
        <v>2.9796</v>
      </c>
      <c r="AP305" s="123" t="s">
        <v>145</v>
      </c>
      <c r="AQ305" s="366">
        <v>25.4</v>
      </c>
      <c r="AR305" s="365">
        <v>24</v>
      </c>
      <c r="AS305" s="127">
        <v>2.9796000000000005</v>
      </c>
    </row>
    <row r="306" spans="11:45" x14ac:dyDescent="0.25">
      <c r="K306" s="125"/>
      <c r="L306" s="166"/>
      <c r="M306" s="166"/>
      <c r="N306" s="166"/>
      <c r="O306" s="166"/>
      <c r="P306" s="126">
        <f t="shared" si="15"/>
        <v>2.9796000000000005</v>
      </c>
      <c r="Q306" s="123" t="s">
        <v>171</v>
      </c>
      <c r="R306" s="366">
        <v>29</v>
      </c>
      <c r="S306" s="365">
        <v>24</v>
      </c>
      <c r="T306" s="127">
        <v>3.0061</v>
      </c>
      <c r="U306" s="126">
        <f t="shared" si="22"/>
        <v>2.9796000000000005</v>
      </c>
      <c r="V306" s="123" t="s">
        <v>171</v>
      </c>
      <c r="W306" s="366">
        <v>29</v>
      </c>
      <c r="X306" s="365">
        <v>24</v>
      </c>
      <c r="Y306" s="127">
        <v>3.0061</v>
      </c>
      <c r="Z306" s="126">
        <f t="shared" si="23"/>
        <v>2.9796000000000005</v>
      </c>
      <c r="AA306" s="123" t="s">
        <v>171</v>
      </c>
      <c r="AB306" s="366">
        <v>29</v>
      </c>
      <c r="AC306" s="365">
        <v>24</v>
      </c>
      <c r="AD306" s="127">
        <v>3.0061</v>
      </c>
      <c r="AE306" s="122">
        <f t="shared" si="18"/>
        <v>2.9796000000000005</v>
      </c>
      <c r="AF306" s="123" t="s">
        <v>171</v>
      </c>
      <c r="AG306" s="366">
        <v>29</v>
      </c>
      <c r="AH306" s="365">
        <v>24</v>
      </c>
      <c r="AI306" s="127">
        <v>3.0061</v>
      </c>
      <c r="AJ306" s="126">
        <f t="shared" si="19"/>
        <v>2.9796000000000005</v>
      </c>
      <c r="AK306" s="123" t="s">
        <v>171</v>
      </c>
      <c r="AL306" s="366">
        <v>29</v>
      </c>
      <c r="AM306" s="365">
        <v>24</v>
      </c>
      <c r="AN306" s="127">
        <v>3.0061</v>
      </c>
      <c r="AO306" s="126">
        <f t="shared" si="20"/>
        <v>2.9796000000000005</v>
      </c>
      <c r="AP306" s="123" t="s">
        <v>171</v>
      </c>
      <c r="AQ306" s="366">
        <v>29</v>
      </c>
      <c r="AR306" s="365">
        <v>24</v>
      </c>
      <c r="AS306" s="127">
        <v>3.0061</v>
      </c>
    </row>
    <row r="307" spans="11:45" x14ac:dyDescent="0.25">
      <c r="K307" s="125"/>
      <c r="L307" s="166"/>
      <c r="M307" s="166"/>
      <c r="N307" s="166"/>
      <c r="O307" s="166"/>
      <c r="P307" s="154">
        <f t="shared" si="15"/>
        <v>3.0061</v>
      </c>
      <c r="Q307" s="123" t="s">
        <v>134</v>
      </c>
      <c r="R307" s="366">
        <v>54.6</v>
      </c>
      <c r="S307" s="365">
        <v>24</v>
      </c>
      <c r="T307" s="127">
        <v>3.0124</v>
      </c>
      <c r="U307" s="126">
        <f t="shared" si="22"/>
        <v>3.0061</v>
      </c>
      <c r="V307" s="123" t="s">
        <v>134</v>
      </c>
      <c r="W307" s="366">
        <v>54.6</v>
      </c>
      <c r="X307" s="365">
        <v>24</v>
      </c>
      <c r="Y307" s="127">
        <v>3.0124</v>
      </c>
      <c r="Z307" s="126">
        <f t="shared" si="23"/>
        <v>3.0061</v>
      </c>
      <c r="AA307" s="123" t="s">
        <v>134</v>
      </c>
      <c r="AB307" s="366">
        <v>54.6</v>
      </c>
      <c r="AC307" s="365">
        <v>24</v>
      </c>
      <c r="AD307" s="127">
        <v>3.0124</v>
      </c>
      <c r="AE307" s="122">
        <f t="shared" si="18"/>
        <v>3.0061</v>
      </c>
      <c r="AF307" s="123" t="s">
        <v>134</v>
      </c>
      <c r="AG307" s="366">
        <v>54.6</v>
      </c>
      <c r="AH307" s="365">
        <v>24</v>
      </c>
      <c r="AI307" s="127">
        <v>3.0124</v>
      </c>
      <c r="AJ307" s="126">
        <f t="shared" si="19"/>
        <v>3.0061</v>
      </c>
      <c r="AK307" s="123" t="s">
        <v>134</v>
      </c>
      <c r="AL307" s="366">
        <v>54.6</v>
      </c>
      <c r="AM307" s="365">
        <v>24</v>
      </c>
      <c r="AN307" s="127">
        <v>3.0124</v>
      </c>
      <c r="AO307" s="126">
        <f t="shared" si="20"/>
        <v>3.0061</v>
      </c>
      <c r="AP307" s="123" t="s">
        <v>134</v>
      </c>
      <c r="AQ307" s="366">
        <v>54.6</v>
      </c>
      <c r="AR307" s="365">
        <v>24</v>
      </c>
      <c r="AS307" s="127">
        <v>3.0124</v>
      </c>
    </row>
    <row r="308" spans="11:45" x14ac:dyDescent="0.25">
      <c r="K308" s="125"/>
      <c r="L308" s="166"/>
      <c r="M308" s="166"/>
      <c r="N308" s="166"/>
      <c r="O308" s="166"/>
      <c r="P308" s="154">
        <f t="shared" si="15"/>
        <v>3.0124</v>
      </c>
      <c r="Q308" s="123" t="s">
        <v>133</v>
      </c>
      <c r="R308" s="366">
        <v>49.1</v>
      </c>
      <c r="S308" s="365">
        <v>24</v>
      </c>
      <c r="T308" s="127">
        <v>3.1009999999999995</v>
      </c>
      <c r="U308" s="126">
        <f t="shared" si="22"/>
        <v>3.0124</v>
      </c>
      <c r="V308" s="123" t="s">
        <v>133</v>
      </c>
      <c r="W308" s="366">
        <v>49.1</v>
      </c>
      <c r="X308" s="365">
        <v>24</v>
      </c>
      <c r="Y308" s="127">
        <v>3.1009999999999995</v>
      </c>
      <c r="Z308" s="126">
        <f t="shared" si="23"/>
        <v>3.0124</v>
      </c>
      <c r="AA308" s="123" t="s">
        <v>133</v>
      </c>
      <c r="AB308" s="366">
        <v>49.1</v>
      </c>
      <c r="AC308" s="365">
        <v>24</v>
      </c>
      <c r="AD308" s="127">
        <v>3.1009999999999995</v>
      </c>
      <c r="AE308" s="122">
        <f t="shared" si="18"/>
        <v>3.0124</v>
      </c>
      <c r="AF308" s="123" t="s">
        <v>133</v>
      </c>
      <c r="AG308" s="366">
        <v>49.1</v>
      </c>
      <c r="AH308" s="365">
        <v>24</v>
      </c>
      <c r="AI308" s="127">
        <v>3.1009999999999995</v>
      </c>
      <c r="AJ308" s="126">
        <f t="shared" si="19"/>
        <v>3.0124</v>
      </c>
      <c r="AK308" s="123" t="s">
        <v>133</v>
      </c>
      <c r="AL308" s="366">
        <v>49.1</v>
      </c>
      <c r="AM308" s="365">
        <v>24</v>
      </c>
      <c r="AN308" s="127">
        <v>3.1009999999999995</v>
      </c>
      <c r="AO308" s="126">
        <f t="shared" si="20"/>
        <v>3.0124</v>
      </c>
      <c r="AP308" s="123" t="s">
        <v>133</v>
      </c>
      <c r="AQ308" s="366">
        <v>49.1</v>
      </c>
      <c r="AR308" s="365">
        <v>24</v>
      </c>
      <c r="AS308" s="127">
        <v>3.1009999999999995</v>
      </c>
    </row>
    <row r="309" spans="11:45" x14ac:dyDescent="0.25">
      <c r="K309" s="125"/>
      <c r="L309" s="166"/>
      <c r="M309" s="166"/>
      <c r="N309" s="166"/>
      <c r="O309" s="166"/>
      <c r="P309" s="126">
        <f t="shared" si="15"/>
        <v>3.1009999999999995</v>
      </c>
      <c r="Q309" s="123" t="s">
        <v>87</v>
      </c>
      <c r="R309" s="367">
        <v>29.8</v>
      </c>
      <c r="S309" s="365">
        <v>18</v>
      </c>
      <c r="T309" s="127">
        <v>3.1728499999999999</v>
      </c>
      <c r="U309" s="126">
        <f t="shared" si="22"/>
        <v>3.1009999999999995</v>
      </c>
      <c r="V309" s="123" t="s">
        <v>87</v>
      </c>
      <c r="W309" s="367">
        <v>29.8</v>
      </c>
      <c r="X309" s="365">
        <v>18</v>
      </c>
      <c r="Y309" s="127">
        <v>3.1728499999999999</v>
      </c>
      <c r="Z309" s="126">
        <f t="shared" si="23"/>
        <v>3.1009999999999995</v>
      </c>
      <c r="AA309" s="123" t="s">
        <v>87</v>
      </c>
      <c r="AB309" s="367">
        <v>29.8</v>
      </c>
      <c r="AC309" s="365">
        <v>18</v>
      </c>
      <c r="AD309" s="127">
        <v>3.1728499999999999</v>
      </c>
      <c r="AE309" s="122">
        <f t="shared" si="18"/>
        <v>3.1009999999999995</v>
      </c>
      <c r="AF309" s="123" t="s">
        <v>87</v>
      </c>
      <c r="AG309" s="367">
        <v>29.8</v>
      </c>
      <c r="AH309" s="365">
        <v>18</v>
      </c>
      <c r="AI309" s="127">
        <v>3.1728499999999999</v>
      </c>
      <c r="AJ309" s="126">
        <f t="shared" si="19"/>
        <v>3.1009999999999995</v>
      </c>
      <c r="AK309" s="123" t="s">
        <v>87</v>
      </c>
      <c r="AL309" s="367">
        <v>29.8</v>
      </c>
      <c r="AM309" s="365">
        <v>18</v>
      </c>
      <c r="AN309" s="127">
        <v>3.1728499999999999</v>
      </c>
      <c r="AO309" s="126">
        <f t="shared" si="20"/>
        <v>3.1009999999999995</v>
      </c>
      <c r="AP309" s="123" t="s">
        <v>87</v>
      </c>
      <c r="AQ309" s="367">
        <v>29.8</v>
      </c>
      <c r="AR309" s="365">
        <v>18</v>
      </c>
      <c r="AS309" s="127">
        <v>3.1728499999999999</v>
      </c>
    </row>
    <row r="310" spans="11:45" x14ac:dyDescent="0.25">
      <c r="K310" s="125"/>
      <c r="L310" s="166"/>
      <c r="M310" s="166"/>
      <c r="N310" s="166"/>
      <c r="O310" s="166"/>
      <c r="P310" s="154">
        <f t="shared" si="15"/>
        <v>3.1728499999999999</v>
      </c>
      <c r="Q310" s="123" t="s">
        <v>149</v>
      </c>
      <c r="R310" s="366">
        <v>51.9</v>
      </c>
      <c r="S310" s="365">
        <v>24</v>
      </c>
      <c r="T310" s="127">
        <v>3.2184499999999998</v>
      </c>
      <c r="U310" s="126">
        <f t="shared" si="22"/>
        <v>3.1728499999999999</v>
      </c>
      <c r="V310" s="123" t="s">
        <v>149</v>
      </c>
      <c r="W310" s="366">
        <v>51.9</v>
      </c>
      <c r="X310" s="365">
        <v>24</v>
      </c>
      <c r="Y310" s="127">
        <v>3.2184499999999998</v>
      </c>
      <c r="Z310" s="126">
        <f t="shared" si="23"/>
        <v>3.1728499999999999</v>
      </c>
      <c r="AA310" s="123" t="s">
        <v>149</v>
      </c>
      <c r="AB310" s="366">
        <v>51.9</v>
      </c>
      <c r="AC310" s="365">
        <v>24</v>
      </c>
      <c r="AD310" s="127">
        <v>3.2184499999999998</v>
      </c>
      <c r="AE310" s="122">
        <f t="shared" si="18"/>
        <v>3.1728499999999999</v>
      </c>
      <c r="AF310" s="123" t="s">
        <v>149</v>
      </c>
      <c r="AG310" s="366">
        <v>51.9</v>
      </c>
      <c r="AH310" s="365">
        <v>24</v>
      </c>
      <c r="AI310" s="127">
        <v>3.2184499999999998</v>
      </c>
      <c r="AJ310" s="126">
        <f t="shared" si="19"/>
        <v>3.1728499999999999</v>
      </c>
      <c r="AK310" s="123" t="s">
        <v>149</v>
      </c>
      <c r="AL310" s="366">
        <v>51.9</v>
      </c>
      <c r="AM310" s="365">
        <v>24</v>
      </c>
      <c r="AN310" s="127">
        <v>3.2184499999999998</v>
      </c>
      <c r="AO310" s="126">
        <f t="shared" si="20"/>
        <v>3.1728499999999999</v>
      </c>
      <c r="AP310" s="123" t="s">
        <v>149</v>
      </c>
      <c r="AQ310" s="366">
        <v>51.9</v>
      </c>
      <c r="AR310" s="365">
        <v>24</v>
      </c>
      <c r="AS310" s="127">
        <v>3.2184499999999998</v>
      </c>
    </row>
    <row r="311" spans="11:45" x14ac:dyDescent="0.25">
      <c r="K311" s="125"/>
      <c r="L311" s="166"/>
      <c r="M311" s="166"/>
      <c r="N311" s="166"/>
      <c r="O311" s="166"/>
      <c r="P311" s="154">
        <f t="shared" si="15"/>
        <v>3.2184499999999998</v>
      </c>
      <c r="Q311" s="123" t="s">
        <v>135</v>
      </c>
      <c r="R311" s="366">
        <v>60</v>
      </c>
      <c r="S311" s="365">
        <v>24</v>
      </c>
      <c r="T311" s="127">
        <v>3.2781999999999996</v>
      </c>
      <c r="U311" s="126">
        <f t="shared" si="22"/>
        <v>3.2184499999999998</v>
      </c>
      <c r="V311" s="123" t="s">
        <v>135</v>
      </c>
      <c r="W311" s="366">
        <v>60</v>
      </c>
      <c r="X311" s="365">
        <v>24</v>
      </c>
      <c r="Y311" s="127">
        <v>3.2781999999999996</v>
      </c>
      <c r="Z311" s="126">
        <f t="shared" si="23"/>
        <v>3.2184499999999998</v>
      </c>
      <c r="AA311" s="123" t="s">
        <v>135</v>
      </c>
      <c r="AB311" s="366">
        <v>60</v>
      </c>
      <c r="AC311" s="365">
        <v>24</v>
      </c>
      <c r="AD311" s="127">
        <v>3.2781999999999996</v>
      </c>
      <c r="AE311" s="122">
        <f t="shared" si="18"/>
        <v>3.2184499999999998</v>
      </c>
      <c r="AF311" s="123" t="s">
        <v>135</v>
      </c>
      <c r="AG311" s="366">
        <v>60</v>
      </c>
      <c r="AH311" s="365">
        <v>24</v>
      </c>
      <c r="AI311" s="127">
        <v>3.2781999999999996</v>
      </c>
      <c r="AJ311" s="126">
        <f t="shared" si="19"/>
        <v>3.2184499999999998</v>
      </c>
      <c r="AK311" s="123" t="s">
        <v>135</v>
      </c>
      <c r="AL311" s="366">
        <v>60</v>
      </c>
      <c r="AM311" s="365">
        <v>24</v>
      </c>
      <c r="AN311" s="127">
        <v>3.2781999999999996</v>
      </c>
      <c r="AO311" s="126">
        <f t="shared" si="20"/>
        <v>3.2184499999999998</v>
      </c>
      <c r="AP311" s="123" t="s">
        <v>135</v>
      </c>
      <c r="AQ311" s="366">
        <v>60</v>
      </c>
      <c r="AR311" s="365">
        <v>24</v>
      </c>
      <c r="AS311" s="127">
        <v>3.2781999999999996</v>
      </c>
    </row>
    <row r="312" spans="11:45" x14ac:dyDescent="0.25">
      <c r="K312" s="125"/>
      <c r="L312" s="166"/>
      <c r="M312" s="166"/>
      <c r="N312" s="166"/>
      <c r="O312" s="166"/>
      <c r="P312" s="154">
        <f t="shared" si="15"/>
        <v>3.2781999999999996</v>
      </c>
      <c r="Q312" s="123" t="s">
        <v>172</v>
      </c>
      <c r="R312" s="366">
        <v>35.299999999999997</v>
      </c>
      <c r="S312" s="365">
        <v>24</v>
      </c>
      <c r="T312" s="127">
        <v>3.3328500000000001</v>
      </c>
      <c r="U312" s="126">
        <f t="shared" si="22"/>
        <v>3.2781999999999996</v>
      </c>
      <c r="V312" s="123" t="s">
        <v>172</v>
      </c>
      <c r="W312" s="366">
        <v>35.299999999999997</v>
      </c>
      <c r="X312" s="365">
        <v>24</v>
      </c>
      <c r="Y312" s="127">
        <v>3.3328500000000001</v>
      </c>
      <c r="Z312" s="126">
        <f t="shared" si="23"/>
        <v>3.2781999999999996</v>
      </c>
      <c r="AA312" s="123" t="s">
        <v>172</v>
      </c>
      <c r="AB312" s="366">
        <v>35.299999999999997</v>
      </c>
      <c r="AC312" s="365">
        <v>24</v>
      </c>
      <c r="AD312" s="127">
        <v>3.3328500000000001</v>
      </c>
      <c r="AE312" s="122">
        <f t="shared" si="18"/>
        <v>3.2781999999999996</v>
      </c>
      <c r="AF312" s="123" t="s">
        <v>172</v>
      </c>
      <c r="AG312" s="366">
        <v>35.299999999999997</v>
      </c>
      <c r="AH312" s="365">
        <v>24</v>
      </c>
      <c r="AI312" s="127">
        <v>3.3328500000000001</v>
      </c>
      <c r="AJ312" s="126">
        <f t="shared" si="19"/>
        <v>3.2781999999999996</v>
      </c>
      <c r="AK312" s="123" t="s">
        <v>172</v>
      </c>
      <c r="AL312" s="366">
        <v>35.299999999999997</v>
      </c>
      <c r="AM312" s="365">
        <v>24</v>
      </c>
      <c r="AN312" s="127">
        <v>3.3328500000000001</v>
      </c>
      <c r="AO312" s="126">
        <f t="shared" si="20"/>
        <v>3.2781999999999996</v>
      </c>
      <c r="AP312" s="123" t="s">
        <v>172</v>
      </c>
      <c r="AQ312" s="366">
        <v>35.299999999999997</v>
      </c>
      <c r="AR312" s="365">
        <v>24</v>
      </c>
      <c r="AS312" s="127">
        <v>3.3328500000000001</v>
      </c>
    </row>
    <row r="313" spans="11:45" x14ac:dyDescent="0.25">
      <c r="K313" s="125"/>
      <c r="L313" s="166"/>
      <c r="M313" s="166"/>
      <c r="N313" s="166"/>
      <c r="O313" s="166"/>
      <c r="P313" s="154">
        <f t="shared" si="15"/>
        <v>3.3328500000000001</v>
      </c>
      <c r="Q313" s="123" t="s">
        <v>148</v>
      </c>
      <c r="R313" s="366">
        <v>45.6</v>
      </c>
      <c r="S313" s="365">
        <v>24</v>
      </c>
      <c r="T313" s="127">
        <v>3.4380000000000002</v>
      </c>
      <c r="U313" s="126">
        <f t="shared" si="22"/>
        <v>3.3328500000000001</v>
      </c>
      <c r="V313" s="123" t="s">
        <v>148</v>
      </c>
      <c r="W313" s="366">
        <v>45.6</v>
      </c>
      <c r="X313" s="365">
        <v>24</v>
      </c>
      <c r="Y313" s="127">
        <v>3.4380000000000002</v>
      </c>
      <c r="Z313" s="126">
        <f t="shared" si="23"/>
        <v>3.3328500000000001</v>
      </c>
      <c r="AA313" s="123" t="s">
        <v>148</v>
      </c>
      <c r="AB313" s="366">
        <v>45.6</v>
      </c>
      <c r="AC313" s="365">
        <v>24</v>
      </c>
      <c r="AD313" s="127">
        <v>3.4380000000000002</v>
      </c>
      <c r="AE313" s="122">
        <f t="shared" si="18"/>
        <v>3.3328500000000001</v>
      </c>
      <c r="AF313" s="123" t="s">
        <v>148</v>
      </c>
      <c r="AG313" s="366">
        <v>45.6</v>
      </c>
      <c r="AH313" s="365">
        <v>24</v>
      </c>
      <c r="AI313" s="127">
        <v>3.4380000000000002</v>
      </c>
      <c r="AJ313" s="126">
        <f t="shared" si="19"/>
        <v>3.3328500000000001</v>
      </c>
      <c r="AK313" s="123" t="s">
        <v>148</v>
      </c>
      <c r="AL313" s="366">
        <v>45.6</v>
      </c>
      <c r="AM313" s="365">
        <v>24</v>
      </c>
      <c r="AN313" s="127">
        <v>3.4380000000000002</v>
      </c>
      <c r="AO313" s="126">
        <f t="shared" si="20"/>
        <v>3.3328500000000001</v>
      </c>
      <c r="AP313" s="123" t="s">
        <v>148</v>
      </c>
      <c r="AQ313" s="366">
        <v>45.6</v>
      </c>
      <c r="AR313" s="365">
        <v>24</v>
      </c>
      <c r="AS313" s="127">
        <v>3.4380000000000002</v>
      </c>
    </row>
    <row r="314" spans="11:45" x14ac:dyDescent="0.25">
      <c r="K314" s="125"/>
      <c r="L314" s="166"/>
      <c r="M314" s="166"/>
      <c r="N314" s="166"/>
      <c r="O314" s="166"/>
      <c r="P314" s="154">
        <f t="shared" si="15"/>
        <v>3.4380000000000002</v>
      </c>
      <c r="Q314" s="123" t="s">
        <v>173</v>
      </c>
      <c r="R314" s="366">
        <v>42</v>
      </c>
      <c r="S314" s="365">
        <v>24</v>
      </c>
      <c r="T314" s="127">
        <v>3.5289000000000001</v>
      </c>
      <c r="U314" s="126">
        <f t="shared" si="22"/>
        <v>3.4380000000000002</v>
      </c>
      <c r="V314" s="123" t="s">
        <v>173</v>
      </c>
      <c r="W314" s="366">
        <v>42</v>
      </c>
      <c r="X314" s="365">
        <v>24</v>
      </c>
      <c r="Y314" s="127">
        <v>3.5289000000000001</v>
      </c>
      <c r="Z314" s="126">
        <f t="shared" si="23"/>
        <v>3.4380000000000002</v>
      </c>
      <c r="AA314" s="123" t="s">
        <v>173</v>
      </c>
      <c r="AB314" s="366">
        <v>42</v>
      </c>
      <c r="AC314" s="365">
        <v>24</v>
      </c>
      <c r="AD314" s="127">
        <v>3.5289000000000001</v>
      </c>
      <c r="AE314" s="122">
        <f t="shared" si="18"/>
        <v>3.4380000000000002</v>
      </c>
      <c r="AF314" s="123" t="s">
        <v>173</v>
      </c>
      <c r="AG314" s="366">
        <v>42</v>
      </c>
      <c r="AH314" s="365">
        <v>24</v>
      </c>
      <c r="AI314" s="127">
        <v>3.5289000000000001</v>
      </c>
      <c r="AJ314" s="126">
        <f t="shared" si="19"/>
        <v>3.4380000000000002</v>
      </c>
      <c r="AK314" s="123" t="s">
        <v>173</v>
      </c>
      <c r="AL314" s="366">
        <v>42</v>
      </c>
      <c r="AM314" s="365">
        <v>24</v>
      </c>
      <c r="AN314" s="127">
        <v>3.5289000000000001</v>
      </c>
      <c r="AO314" s="126">
        <f t="shared" si="20"/>
        <v>3.4380000000000002</v>
      </c>
      <c r="AP314" s="123" t="s">
        <v>173</v>
      </c>
      <c r="AQ314" s="366">
        <v>42</v>
      </c>
      <c r="AR314" s="365">
        <v>24</v>
      </c>
      <c r="AS314" s="127">
        <v>3.5289000000000001</v>
      </c>
    </row>
    <row r="315" spans="11:45" x14ac:dyDescent="0.25">
      <c r="K315" s="125"/>
      <c r="L315" s="166"/>
      <c r="M315" s="166"/>
      <c r="N315" s="166"/>
      <c r="O315" s="166"/>
      <c r="P315" s="154">
        <f t="shared" si="15"/>
        <v>3.5289000000000001</v>
      </c>
      <c r="Q315" s="123" t="s">
        <v>122</v>
      </c>
      <c r="R315" s="366">
        <v>52</v>
      </c>
      <c r="S315" s="365">
        <v>18</v>
      </c>
      <c r="T315" s="127">
        <v>3.6362999999999999</v>
      </c>
      <c r="U315" s="126">
        <f t="shared" si="22"/>
        <v>3.5289000000000001</v>
      </c>
      <c r="V315" s="123" t="s">
        <v>122</v>
      </c>
      <c r="W315" s="366">
        <v>52</v>
      </c>
      <c r="X315" s="365">
        <v>18</v>
      </c>
      <c r="Y315" s="127">
        <v>3.6362999999999999</v>
      </c>
      <c r="Z315" s="126">
        <f t="shared" si="23"/>
        <v>3.5289000000000001</v>
      </c>
      <c r="AA315" s="123" t="s">
        <v>122</v>
      </c>
      <c r="AB315" s="366">
        <v>52</v>
      </c>
      <c r="AC315" s="365">
        <v>18</v>
      </c>
      <c r="AD315" s="127">
        <v>3.6362999999999999</v>
      </c>
      <c r="AE315" s="122">
        <f t="shared" si="18"/>
        <v>3.5289000000000001</v>
      </c>
      <c r="AF315" s="123" t="s">
        <v>122</v>
      </c>
      <c r="AG315" s="366">
        <v>52</v>
      </c>
      <c r="AH315" s="365">
        <v>18</v>
      </c>
      <c r="AI315" s="127">
        <v>3.6362999999999999</v>
      </c>
      <c r="AJ315" s="126">
        <f t="shared" si="19"/>
        <v>3.5289000000000001</v>
      </c>
      <c r="AK315" s="123" t="s">
        <v>122</v>
      </c>
      <c r="AL315" s="366">
        <v>52</v>
      </c>
      <c r="AM315" s="365">
        <v>18</v>
      </c>
      <c r="AN315" s="127">
        <v>3.6362999999999999</v>
      </c>
      <c r="AO315" s="126">
        <f t="shared" si="20"/>
        <v>3.5289000000000001</v>
      </c>
      <c r="AP315" s="123" t="s">
        <v>122</v>
      </c>
      <c r="AQ315" s="366">
        <v>52</v>
      </c>
      <c r="AR315" s="365">
        <v>18</v>
      </c>
      <c r="AS315" s="127">
        <v>3.6362999999999999</v>
      </c>
    </row>
    <row r="316" spans="11:45" x14ac:dyDescent="0.25">
      <c r="K316" s="125"/>
      <c r="L316" s="166"/>
      <c r="M316" s="166"/>
      <c r="N316" s="166"/>
      <c r="O316" s="166"/>
      <c r="P316" s="154">
        <f t="shared" si="15"/>
        <v>3.6362999999999999</v>
      </c>
      <c r="Q316" s="123" t="s">
        <v>150</v>
      </c>
      <c r="R316" s="366">
        <v>58.1</v>
      </c>
      <c r="S316" s="365">
        <v>24</v>
      </c>
      <c r="T316" s="127">
        <v>3.6548500000000002</v>
      </c>
      <c r="U316" s="126">
        <f t="shared" si="22"/>
        <v>3.6362999999999999</v>
      </c>
      <c r="V316" s="123" t="s">
        <v>150</v>
      </c>
      <c r="W316" s="366">
        <v>58.1</v>
      </c>
      <c r="X316" s="365">
        <v>24</v>
      </c>
      <c r="Y316" s="127">
        <v>3.6548500000000002</v>
      </c>
      <c r="Z316" s="126">
        <f t="shared" si="23"/>
        <v>3.6362999999999999</v>
      </c>
      <c r="AA316" s="123" t="s">
        <v>150</v>
      </c>
      <c r="AB316" s="366">
        <v>58.1</v>
      </c>
      <c r="AC316" s="365">
        <v>24</v>
      </c>
      <c r="AD316" s="127">
        <v>3.6548500000000002</v>
      </c>
      <c r="AE316" s="122">
        <f t="shared" si="18"/>
        <v>3.6362999999999999</v>
      </c>
      <c r="AF316" s="123" t="s">
        <v>150</v>
      </c>
      <c r="AG316" s="366">
        <v>58.1</v>
      </c>
      <c r="AH316" s="365">
        <v>24</v>
      </c>
      <c r="AI316" s="127">
        <v>3.6548500000000002</v>
      </c>
      <c r="AJ316" s="126">
        <f t="shared" si="19"/>
        <v>3.6362999999999999</v>
      </c>
      <c r="AK316" s="123" t="s">
        <v>150</v>
      </c>
      <c r="AL316" s="366">
        <v>58.1</v>
      </c>
      <c r="AM316" s="365">
        <v>24</v>
      </c>
      <c r="AN316" s="127">
        <v>3.6548500000000002</v>
      </c>
      <c r="AO316" s="126">
        <f t="shared" si="20"/>
        <v>3.6362999999999999</v>
      </c>
      <c r="AP316" s="123" t="s">
        <v>150</v>
      </c>
      <c r="AQ316" s="366">
        <v>58.1</v>
      </c>
      <c r="AR316" s="365">
        <v>24</v>
      </c>
      <c r="AS316" s="127">
        <v>3.6548500000000002</v>
      </c>
    </row>
    <row r="317" spans="11:45" x14ac:dyDescent="0.25">
      <c r="K317" s="125"/>
      <c r="L317" s="166"/>
      <c r="M317" s="166"/>
      <c r="N317" s="166"/>
      <c r="O317" s="166"/>
      <c r="P317" s="154">
        <f t="shared" si="15"/>
        <v>3.6548500000000002</v>
      </c>
      <c r="Q317" s="123" t="s">
        <v>88</v>
      </c>
      <c r="R317" s="367">
        <v>43.4</v>
      </c>
      <c r="S317" s="365">
        <v>24</v>
      </c>
      <c r="T317" s="127">
        <v>3.6768999999999994</v>
      </c>
      <c r="U317" s="126">
        <f t="shared" si="22"/>
        <v>3.6548500000000002</v>
      </c>
      <c r="V317" s="123" t="s">
        <v>88</v>
      </c>
      <c r="W317" s="367">
        <v>43.4</v>
      </c>
      <c r="X317" s="365">
        <v>24</v>
      </c>
      <c r="Y317" s="127">
        <v>3.6768999999999994</v>
      </c>
      <c r="Z317" s="126">
        <f t="shared" si="23"/>
        <v>3.6548500000000002</v>
      </c>
      <c r="AA317" s="123" t="s">
        <v>88</v>
      </c>
      <c r="AB317" s="367">
        <v>43.4</v>
      </c>
      <c r="AC317" s="365">
        <v>24</v>
      </c>
      <c r="AD317" s="127">
        <v>3.6768999999999994</v>
      </c>
      <c r="AE317" s="122">
        <f t="shared" si="18"/>
        <v>3.6548500000000002</v>
      </c>
      <c r="AF317" s="123" t="s">
        <v>88</v>
      </c>
      <c r="AG317" s="367">
        <v>43.4</v>
      </c>
      <c r="AH317" s="365">
        <v>24</v>
      </c>
      <c r="AI317" s="127">
        <v>3.6768999999999994</v>
      </c>
      <c r="AJ317" s="126">
        <f t="shared" si="19"/>
        <v>3.6548500000000002</v>
      </c>
      <c r="AK317" s="123" t="s">
        <v>88</v>
      </c>
      <c r="AL317" s="367">
        <v>43.4</v>
      </c>
      <c r="AM317" s="365">
        <v>24</v>
      </c>
      <c r="AN317" s="127">
        <v>3.6768999999999994</v>
      </c>
      <c r="AO317" s="126">
        <f t="shared" si="20"/>
        <v>3.6548500000000002</v>
      </c>
      <c r="AP317" s="123" t="s">
        <v>88</v>
      </c>
      <c r="AQ317" s="367">
        <v>43.4</v>
      </c>
      <c r="AR317" s="365">
        <v>24</v>
      </c>
      <c r="AS317" s="127">
        <v>3.6768999999999994</v>
      </c>
    </row>
    <row r="318" spans="11:45" x14ac:dyDescent="0.25">
      <c r="K318" s="125"/>
      <c r="L318" s="166"/>
      <c r="M318" s="166"/>
      <c r="N318" s="166"/>
      <c r="O318" s="166"/>
      <c r="P318" s="154">
        <f t="shared" si="15"/>
        <v>3.6768999999999994</v>
      </c>
      <c r="Q318" s="123" t="s">
        <v>136</v>
      </c>
      <c r="R318" s="366">
        <v>66.7</v>
      </c>
      <c r="S318" s="365">
        <v>24</v>
      </c>
      <c r="T318" s="127">
        <v>3.7212000000000005</v>
      </c>
      <c r="U318" s="126">
        <f t="shared" si="22"/>
        <v>3.6768999999999994</v>
      </c>
      <c r="V318" s="123" t="s">
        <v>136</v>
      </c>
      <c r="W318" s="366">
        <v>66.7</v>
      </c>
      <c r="X318" s="365">
        <v>24</v>
      </c>
      <c r="Y318" s="127">
        <v>3.7212000000000005</v>
      </c>
      <c r="Z318" s="126">
        <f t="shared" si="23"/>
        <v>3.6768999999999994</v>
      </c>
      <c r="AA318" s="123" t="s">
        <v>136</v>
      </c>
      <c r="AB318" s="366">
        <v>66.7</v>
      </c>
      <c r="AC318" s="365">
        <v>24</v>
      </c>
      <c r="AD318" s="127">
        <v>3.7212000000000005</v>
      </c>
      <c r="AE318" s="122">
        <f t="shared" si="18"/>
        <v>3.6768999999999994</v>
      </c>
      <c r="AF318" s="123" t="s">
        <v>136</v>
      </c>
      <c r="AG318" s="366">
        <v>66.7</v>
      </c>
      <c r="AH318" s="365">
        <v>24</v>
      </c>
      <c r="AI318" s="127">
        <v>3.7212000000000005</v>
      </c>
      <c r="AJ318" s="126">
        <f t="shared" si="19"/>
        <v>3.6768999999999994</v>
      </c>
      <c r="AK318" s="123" t="s">
        <v>136</v>
      </c>
      <c r="AL318" s="366">
        <v>66.7</v>
      </c>
      <c r="AM318" s="365">
        <v>24</v>
      </c>
      <c r="AN318" s="127">
        <v>3.7212000000000005</v>
      </c>
      <c r="AO318" s="126">
        <f t="shared" si="20"/>
        <v>3.6768999999999994</v>
      </c>
      <c r="AP318" s="123" t="s">
        <v>136</v>
      </c>
      <c r="AQ318" s="366">
        <v>66.7</v>
      </c>
      <c r="AR318" s="365">
        <v>24</v>
      </c>
      <c r="AS318" s="127">
        <v>3.7212000000000005</v>
      </c>
    </row>
    <row r="319" spans="11:45" x14ac:dyDescent="0.25">
      <c r="K319" s="125"/>
      <c r="L319" s="166"/>
      <c r="M319" s="166"/>
      <c r="N319" s="166"/>
      <c r="O319" s="166"/>
      <c r="P319" s="154">
        <f t="shared" si="15"/>
        <v>3.7212000000000005</v>
      </c>
      <c r="Q319" s="123" t="s">
        <v>174</v>
      </c>
      <c r="R319" s="366">
        <v>48.6</v>
      </c>
      <c r="S319" s="365">
        <v>24</v>
      </c>
      <c r="T319" s="127">
        <v>3.7249499999999998</v>
      </c>
      <c r="U319" s="126">
        <f t="shared" si="22"/>
        <v>3.7212000000000005</v>
      </c>
      <c r="V319" s="123" t="s">
        <v>174</v>
      </c>
      <c r="W319" s="366">
        <v>48.6</v>
      </c>
      <c r="X319" s="365">
        <v>24</v>
      </c>
      <c r="Y319" s="127">
        <v>3.7249499999999998</v>
      </c>
      <c r="Z319" s="126">
        <f t="shared" si="23"/>
        <v>3.7212000000000005</v>
      </c>
      <c r="AA319" s="123" t="s">
        <v>174</v>
      </c>
      <c r="AB319" s="366">
        <v>48.6</v>
      </c>
      <c r="AC319" s="365">
        <v>24</v>
      </c>
      <c r="AD319" s="127">
        <v>3.7249499999999998</v>
      </c>
      <c r="AE319" s="122">
        <f t="shared" si="18"/>
        <v>3.7212000000000005</v>
      </c>
      <c r="AF319" s="123" t="s">
        <v>174</v>
      </c>
      <c r="AG319" s="366">
        <v>48.6</v>
      </c>
      <c r="AH319" s="365">
        <v>24</v>
      </c>
      <c r="AI319" s="127">
        <v>3.7249499999999998</v>
      </c>
      <c r="AJ319" s="126">
        <f t="shared" si="19"/>
        <v>3.7212000000000005</v>
      </c>
      <c r="AK319" s="123" t="s">
        <v>174</v>
      </c>
      <c r="AL319" s="366">
        <v>48.6</v>
      </c>
      <c r="AM319" s="365">
        <v>24</v>
      </c>
      <c r="AN319" s="127">
        <v>3.7249499999999998</v>
      </c>
      <c r="AO319" s="126">
        <f t="shared" si="20"/>
        <v>3.7212000000000005</v>
      </c>
      <c r="AP319" s="123" t="s">
        <v>174</v>
      </c>
      <c r="AQ319" s="366">
        <v>48.6</v>
      </c>
      <c r="AR319" s="365">
        <v>24</v>
      </c>
      <c r="AS319" s="127">
        <v>3.7249499999999998</v>
      </c>
    </row>
    <row r="320" spans="11:45" x14ac:dyDescent="0.25">
      <c r="K320" s="125"/>
      <c r="L320" s="166"/>
      <c r="M320" s="166"/>
      <c r="N320" s="166"/>
      <c r="O320" s="166"/>
      <c r="P320" s="154">
        <f t="shared" si="15"/>
        <v>3.7249499999999998</v>
      </c>
      <c r="Q320" s="123" t="s">
        <v>207</v>
      </c>
      <c r="R320" s="367">
        <v>38.4</v>
      </c>
      <c r="S320" s="365">
        <v>24</v>
      </c>
      <c r="T320" s="127">
        <v>3.75</v>
      </c>
      <c r="U320" s="126">
        <f t="shared" si="22"/>
        <v>3.7249499999999998</v>
      </c>
      <c r="V320" s="123" t="s">
        <v>207</v>
      </c>
      <c r="W320" s="367">
        <v>38.4</v>
      </c>
      <c r="X320" s="365">
        <v>24</v>
      </c>
      <c r="Y320" s="127">
        <v>3.75</v>
      </c>
      <c r="Z320" s="126">
        <f t="shared" si="23"/>
        <v>3.7249499999999998</v>
      </c>
      <c r="AA320" s="123" t="s">
        <v>207</v>
      </c>
      <c r="AB320" s="367">
        <v>38.4</v>
      </c>
      <c r="AC320" s="365">
        <v>24</v>
      </c>
      <c r="AD320" s="127">
        <v>3.75</v>
      </c>
      <c r="AE320" s="122">
        <f t="shared" si="18"/>
        <v>3.7249499999999998</v>
      </c>
      <c r="AF320" s="123" t="s">
        <v>207</v>
      </c>
      <c r="AG320" s="367">
        <v>38.4</v>
      </c>
      <c r="AH320" s="365">
        <v>24</v>
      </c>
      <c r="AI320" s="127">
        <v>3.75</v>
      </c>
      <c r="AJ320" s="126">
        <f t="shared" si="19"/>
        <v>3.7249499999999998</v>
      </c>
      <c r="AK320" s="123" t="s">
        <v>207</v>
      </c>
      <c r="AL320" s="367">
        <v>38.4</v>
      </c>
      <c r="AM320" s="365">
        <v>24</v>
      </c>
      <c r="AN320" s="127">
        <v>3.75</v>
      </c>
      <c r="AO320" s="126">
        <f t="shared" si="20"/>
        <v>3.7249499999999998</v>
      </c>
      <c r="AP320" s="123" t="s">
        <v>207</v>
      </c>
      <c r="AQ320" s="367">
        <v>38.4</v>
      </c>
      <c r="AR320" s="365">
        <v>24</v>
      </c>
      <c r="AS320" s="127">
        <v>3.75</v>
      </c>
    </row>
    <row r="321" spans="11:45" x14ac:dyDescent="0.25">
      <c r="K321" s="125"/>
      <c r="L321" s="166"/>
      <c r="M321" s="166"/>
      <c r="N321" s="166"/>
      <c r="O321" s="166"/>
      <c r="P321" s="154">
        <f t="shared" si="15"/>
        <v>3.75</v>
      </c>
      <c r="Q321" s="123" t="s">
        <v>152</v>
      </c>
      <c r="R321" s="366">
        <v>70.599999999999994</v>
      </c>
      <c r="S321" s="365">
        <v>24</v>
      </c>
      <c r="T321" s="127">
        <v>3.7639499999999999</v>
      </c>
      <c r="U321" s="126">
        <f t="shared" si="22"/>
        <v>3.75</v>
      </c>
      <c r="V321" s="123" t="s">
        <v>152</v>
      </c>
      <c r="W321" s="366">
        <v>70.599999999999994</v>
      </c>
      <c r="X321" s="365">
        <v>24</v>
      </c>
      <c r="Y321" s="127">
        <v>3.7639499999999999</v>
      </c>
      <c r="Z321" s="126">
        <f t="shared" si="23"/>
        <v>3.75</v>
      </c>
      <c r="AA321" s="123" t="s">
        <v>152</v>
      </c>
      <c r="AB321" s="366">
        <v>70.599999999999994</v>
      </c>
      <c r="AC321" s="365">
        <v>24</v>
      </c>
      <c r="AD321" s="127">
        <v>3.7639499999999999</v>
      </c>
      <c r="AE321" s="122">
        <f t="shared" si="18"/>
        <v>3.75</v>
      </c>
      <c r="AF321" s="123" t="s">
        <v>152</v>
      </c>
      <c r="AG321" s="366">
        <v>70.599999999999994</v>
      </c>
      <c r="AH321" s="365">
        <v>24</v>
      </c>
      <c r="AI321" s="127">
        <v>3.7639499999999999</v>
      </c>
      <c r="AJ321" s="126">
        <f t="shared" si="19"/>
        <v>3.75</v>
      </c>
      <c r="AK321" s="123" t="s">
        <v>152</v>
      </c>
      <c r="AL321" s="366">
        <v>70.599999999999994</v>
      </c>
      <c r="AM321" s="365">
        <v>24</v>
      </c>
      <c r="AN321" s="127">
        <v>3.7639499999999999</v>
      </c>
      <c r="AO321" s="126">
        <f t="shared" si="20"/>
        <v>3.75</v>
      </c>
      <c r="AP321" s="123" t="s">
        <v>152</v>
      </c>
      <c r="AQ321" s="366">
        <v>70.599999999999994</v>
      </c>
      <c r="AR321" s="365">
        <v>24</v>
      </c>
      <c r="AS321" s="127">
        <v>3.7639499999999999</v>
      </c>
    </row>
    <row r="322" spans="11:45" x14ac:dyDescent="0.25">
      <c r="K322" s="125"/>
      <c r="L322" s="166"/>
      <c r="M322" s="166"/>
      <c r="N322" s="166"/>
      <c r="O322" s="166"/>
      <c r="P322" s="154">
        <f t="shared" si="15"/>
        <v>3.7639499999999999</v>
      </c>
      <c r="Q322" s="123" t="s">
        <v>176</v>
      </c>
      <c r="R322" s="366">
        <v>62.7</v>
      </c>
      <c r="S322" s="365">
        <v>24</v>
      </c>
      <c r="T322" s="127">
        <v>3.843</v>
      </c>
      <c r="U322" s="126">
        <f t="shared" si="22"/>
        <v>3.7639499999999999</v>
      </c>
      <c r="V322" s="123" t="s">
        <v>176</v>
      </c>
      <c r="W322" s="366">
        <v>62.7</v>
      </c>
      <c r="X322" s="365">
        <v>24</v>
      </c>
      <c r="Y322" s="127">
        <v>3.843</v>
      </c>
      <c r="Z322" s="126">
        <f t="shared" si="23"/>
        <v>3.7639499999999999</v>
      </c>
      <c r="AA322" s="123" t="s">
        <v>176</v>
      </c>
      <c r="AB322" s="366">
        <v>62.7</v>
      </c>
      <c r="AC322" s="365">
        <v>24</v>
      </c>
      <c r="AD322" s="127">
        <v>3.843</v>
      </c>
      <c r="AE322" s="122">
        <f t="shared" si="18"/>
        <v>3.7639499999999999</v>
      </c>
      <c r="AF322" s="123" t="s">
        <v>176</v>
      </c>
      <c r="AG322" s="366">
        <v>62.7</v>
      </c>
      <c r="AH322" s="365">
        <v>24</v>
      </c>
      <c r="AI322" s="127">
        <v>3.843</v>
      </c>
      <c r="AJ322" s="126">
        <f t="shared" si="19"/>
        <v>3.7639499999999999</v>
      </c>
      <c r="AK322" s="123" t="s">
        <v>176</v>
      </c>
      <c r="AL322" s="366">
        <v>62.7</v>
      </c>
      <c r="AM322" s="365">
        <v>24</v>
      </c>
      <c r="AN322" s="127">
        <v>3.843</v>
      </c>
      <c r="AO322" s="126">
        <f t="shared" si="20"/>
        <v>3.7639499999999999</v>
      </c>
      <c r="AP322" s="123" t="s">
        <v>176</v>
      </c>
      <c r="AQ322" s="366">
        <v>62.7</v>
      </c>
      <c r="AR322" s="365">
        <v>24</v>
      </c>
      <c r="AS322" s="127">
        <v>3.843</v>
      </c>
    </row>
    <row r="323" spans="11:45" x14ac:dyDescent="0.25">
      <c r="K323" s="125"/>
      <c r="L323" s="166"/>
      <c r="M323" s="166"/>
      <c r="N323" s="166"/>
      <c r="O323" s="166"/>
      <c r="P323" s="154">
        <f t="shared" si="15"/>
        <v>3.843</v>
      </c>
      <c r="Q323" s="123" t="s">
        <v>153</v>
      </c>
      <c r="R323" s="366">
        <v>78</v>
      </c>
      <c r="S323" s="365">
        <v>24</v>
      </c>
      <c r="T323" s="127">
        <v>3.9276</v>
      </c>
      <c r="U323" s="126">
        <f t="shared" si="22"/>
        <v>3.843</v>
      </c>
      <c r="V323" s="123" t="s">
        <v>153</v>
      </c>
      <c r="W323" s="366">
        <v>78</v>
      </c>
      <c r="X323" s="365">
        <v>24</v>
      </c>
      <c r="Y323" s="127">
        <v>3.9276</v>
      </c>
      <c r="Z323" s="126">
        <f t="shared" si="23"/>
        <v>3.843</v>
      </c>
      <c r="AA323" s="123" t="s">
        <v>153</v>
      </c>
      <c r="AB323" s="366">
        <v>78</v>
      </c>
      <c r="AC323" s="365">
        <v>24</v>
      </c>
      <c r="AD323" s="127">
        <v>3.9276</v>
      </c>
      <c r="AE323" s="122">
        <f t="shared" si="18"/>
        <v>3.843</v>
      </c>
      <c r="AF323" s="123" t="s">
        <v>153</v>
      </c>
      <c r="AG323" s="366">
        <v>78</v>
      </c>
      <c r="AH323" s="365">
        <v>24</v>
      </c>
      <c r="AI323" s="127">
        <v>3.9276</v>
      </c>
      <c r="AJ323" s="126">
        <f t="shared" si="19"/>
        <v>3.843</v>
      </c>
      <c r="AK323" s="123" t="s">
        <v>153</v>
      </c>
      <c r="AL323" s="366">
        <v>78</v>
      </c>
      <c r="AM323" s="365">
        <v>24</v>
      </c>
      <c r="AN323" s="127">
        <v>3.9276</v>
      </c>
      <c r="AO323" s="126">
        <f t="shared" si="20"/>
        <v>3.843</v>
      </c>
      <c r="AP323" s="123" t="s">
        <v>153</v>
      </c>
      <c r="AQ323" s="366">
        <v>78</v>
      </c>
      <c r="AR323" s="365">
        <v>24</v>
      </c>
      <c r="AS323" s="127">
        <v>3.9276</v>
      </c>
    </row>
    <row r="324" spans="11:45" x14ac:dyDescent="0.25">
      <c r="K324" s="125"/>
      <c r="L324" s="166"/>
      <c r="M324" s="166"/>
      <c r="N324" s="166"/>
      <c r="O324" s="166"/>
      <c r="P324" s="154">
        <f t="shared" si="15"/>
        <v>3.9276</v>
      </c>
      <c r="Q324" s="123" t="s">
        <v>151</v>
      </c>
      <c r="R324" s="366">
        <v>64.7</v>
      </c>
      <c r="S324" s="365">
        <v>24</v>
      </c>
      <c r="T324" s="127">
        <v>4.0366999999999997</v>
      </c>
      <c r="U324" s="126">
        <f t="shared" si="22"/>
        <v>3.9276</v>
      </c>
      <c r="V324" s="123" t="s">
        <v>151</v>
      </c>
      <c r="W324" s="366">
        <v>64.7</v>
      </c>
      <c r="X324" s="365">
        <v>24</v>
      </c>
      <c r="Y324" s="127">
        <v>4.0366999999999997</v>
      </c>
      <c r="Z324" s="126">
        <f t="shared" si="23"/>
        <v>3.9276</v>
      </c>
      <c r="AA324" s="123" t="s">
        <v>151</v>
      </c>
      <c r="AB324" s="366">
        <v>64.7</v>
      </c>
      <c r="AC324" s="365">
        <v>24</v>
      </c>
      <c r="AD324" s="127">
        <v>4.0366999999999997</v>
      </c>
      <c r="AE324" s="122">
        <f t="shared" si="18"/>
        <v>3.9276</v>
      </c>
      <c r="AF324" s="123" t="s">
        <v>151</v>
      </c>
      <c r="AG324" s="366">
        <v>64.7</v>
      </c>
      <c r="AH324" s="365">
        <v>24</v>
      </c>
      <c r="AI324" s="127">
        <v>4.0366999999999997</v>
      </c>
      <c r="AJ324" s="126">
        <f t="shared" si="19"/>
        <v>3.9276</v>
      </c>
      <c r="AK324" s="123" t="s">
        <v>151</v>
      </c>
      <c r="AL324" s="366">
        <v>64.7</v>
      </c>
      <c r="AM324" s="365">
        <v>24</v>
      </c>
      <c r="AN324" s="127">
        <v>4.0366999999999997</v>
      </c>
      <c r="AO324" s="126">
        <f t="shared" si="20"/>
        <v>3.9276</v>
      </c>
      <c r="AP324" s="123" t="s">
        <v>151</v>
      </c>
      <c r="AQ324" s="366">
        <v>64.7</v>
      </c>
      <c r="AR324" s="365">
        <v>24</v>
      </c>
      <c r="AS324" s="127">
        <v>4.0366999999999997</v>
      </c>
    </row>
    <row r="325" spans="11:45" x14ac:dyDescent="0.25">
      <c r="K325" s="125"/>
      <c r="L325" s="166"/>
      <c r="M325" s="166"/>
      <c r="N325" s="166"/>
      <c r="O325" s="166"/>
      <c r="P325" s="154">
        <f t="shared" si="15"/>
        <v>4.0366999999999997</v>
      </c>
      <c r="Q325" s="123" t="s">
        <v>175</v>
      </c>
      <c r="R325" s="366">
        <v>54.6</v>
      </c>
      <c r="S325" s="365">
        <v>24</v>
      </c>
      <c r="T325" s="127">
        <v>4.0517000000000003</v>
      </c>
      <c r="U325" s="126">
        <f t="shared" si="22"/>
        <v>4.0366999999999997</v>
      </c>
      <c r="V325" s="123" t="s">
        <v>175</v>
      </c>
      <c r="W325" s="366">
        <v>54.6</v>
      </c>
      <c r="X325" s="365">
        <v>24</v>
      </c>
      <c r="Y325" s="127">
        <v>4.0517000000000003</v>
      </c>
      <c r="Z325" s="126">
        <f t="shared" si="23"/>
        <v>4.0366999999999997</v>
      </c>
      <c r="AA325" s="123" t="s">
        <v>175</v>
      </c>
      <c r="AB325" s="366">
        <v>54.6</v>
      </c>
      <c r="AC325" s="365">
        <v>24</v>
      </c>
      <c r="AD325" s="127">
        <v>4.0517000000000003</v>
      </c>
      <c r="AE325" s="122">
        <f t="shared" si="18"/>
        <v>4.0366999999999997</v>
      </c>
      <c r="AF325" s="123" t="s">
        <v>175</v>
      </c>
      <c r="AG325" s="366">
        <v>54.6</v>
      </c>
      <c r="AH325" s="365">
        <v>24</v>
      </c>
      <c r="AI325" s="127">
        <v>4.0517000000000003</v>
      </c>
      <c r="AJ325" s="126">
        <f t="shared" si="19"/>
        <v>4.0366999999999997</v>
      </c>
      <c r="AK325" s="123" t="s">
        <v>175</v>
      </c>
      <c r="AL325" s="366">
        <v>54.6</v>
      </c>
      <c r="AM325" s="365">
        <v>24</v>
      </c>
      <c r="AN325" s="127">
        <v>4.0517000000000003</v>
      </c>
      <c r="AO325" s="126">
        <f t="shared" si="20"/>
        <v>4.0366999999999997</v>
      </c>
      <c r="AP325" s="123" t="s">
        <v>175</v>
      </c>
      <c r="AQ325" s="366">
        <v>54.6</v>
      </c>
      <c r="AR325" s="365">
        <v>24</v>
      </c>
      <c r="AS325" s="127">
        <v>4.0517000000000003</v>
      </c>
    </row>
    <row r="326" spans="11:45" x14ac:dyDescent="0.25">
      <c r="K326" s="125"/>
      <c r="L326" s="166"/>
      <c r="M326" s="166"/>
      <c r="N326" s="166"/>
      <c r="O326" s="166"/>
      <c r="P326" s="154">
        <f t="shared" si="15"/>
        <v>4.0517000000000003</v>
      </c>
      <c r="Q326" s="123" t="s">
        <v>123</v>
      </c>
      <c r="R326" s="366">
        <v>60.4</v>
      </c>
      <c r="S326" s="365">
        <v>24</v>
      </c>
      <c r="T326" s="127">
        <v>4.0640999999999998</v>
      </c>
      <c r="U326" s="126">
        <f t="shared" si="22"/>
        <v>4.0517000000000003</v>
      </c>
      <c r="V326" s="123" t="s">
        <v>123</v>
      </c>
      <c r="W326" s="366">
        <v>60.4</v>
      </c>
      <c r="X326" s="365">
        <v>24</v>
      </c>
      <c r="Y326" s="127">
        <v>4.0640999999999998</v>
      </c>
      <c r="Z326" s="126">
        <f t="shared" si="23"/>
        <v>4.0517000000000003</v>
      </c>
      <c r="AA326" s="123" t="s">
        <v>123</v>
      </c>
      <c r="AB326" s="366">
        <v>60.4</v>
      </c>
      <c r="AC326" s="365">
        <v>24</v>
      </c>
      <c r="AD326" s="127">
        <v>4.0640999999999998</v>
      </c>
      <c r="AE326" s="122">
        <f t="shared" si="18"/>
        <v>4.0517000000000003</v>
      </c>
      <c r="AF326" s="123" t="s">
        <v>123</v>
      </c>
      <c r="AG326" s="366">
        <v>60.4</v>
      </c>
      <c r="AH326" s="365">
        <v>24</v>
      </c>
      <c r="AI326" s="127">
        <v>4.0640999999999998</v>
      </c>
      <c r="AJ326" s="126">
        <f t="shared" si="19"/>
        <v>4.0517000000000003</v>
      </c>
      <c r="AK326" s="123" t="s">
        <v>123</v>
      </c>
      <c r="AL326" s="366">
        <v>60.4</v>
      </c>
      <c r="AM326" s="365">
        <v>24</v>
      </c>
      <c r="AN326" s="127">
        <v>4.0640999999999998</v>
      </c>
      <c r="AO326" s="126">
        <f t="shared" si="20"/>
        <v>4.0517000000000003</v>
      </c>
      <c r="AP326" s="123" t="s">
        <v>123</v>
      </c>
      <c r="AQ326" s="366">
        <v>60.4</v>
      </c>
      <c r="AR326" s="365">
        <v>24</v>
      </c>
      <c r="AS326" s="127">
        <v>4.0640999999999998</v>
      </c>
    </row>
    <row r="327" spans="11:45" x14ac:dyDescent="0.25">
      <c r="K327" s="125"/>
      <c r="L327" s="166"/>
      <c r="M327" s="166"/>
      <c r="N327" s="166"/>
      <c r="O327" s="166"/>
      <c r="P327" s="154">
        <f t="shared" si="15"/>
        <v>4.0640999999999998</v>
      </c>
      <c r="Q327" s="123" t="s">
        <v>208</v>
      </c>
      <c r="R327" s="367">
        <v>47.2</v>
      </c>
      <c r="S327" s="365">
        <v>24</v>
      </c>
      <c r="T327" s="127">
        <v>4.125</v>
      </c>
      <c r="U327" s="126">
        <f t="shared" si="22"/>
        <v>4.0640999999999998</v>
      </c>
      <c r="V327" s="123" t="s">
        <v>208</v>
      </c>
      <c r="W327" s="367">
        <v>47.2</v>
      </c>
      <c r="X327" s="365">
        <v>24</v>
      </c>
      <c r="Y327" s="127">
        <v>4.125</v>
      </c>
      <c r="Z327" s="126">
        <f t="shared" si="23"/>
        <v>4.0640999999999998</v>
      </c>
      <c r="AA327" s="123" t="s">
        <v>208</v>
      </c>
      <c r="AB327" s="367">
        <v>47.2</v>
      </c>
      <c r="AC327" s="365">
        <v>24</v>
      </c>
      <c r="AD327" s="127">
        <v>4.125</v>
      </c>
      <c r="AE327" s="122">
        <f t="shared" si="18"/>
        <v>4.0640999999999998</v>
      </c>
      <c r="AF327" s="123" t="s">
        <v>208</v>
      </c>
      <c r="AG327" s="367">
        <v>47.2</v>
      </c>
      <c r="AH327" s="365">
        <v>24</v>
      </c>
      <c r="AI327" s="127">
        <v>4.125</v>
      </c>
      <c r="AJ327" s="126">
        <f t="shared" si="19"/>
        <v>4.0640999999999998</v>
      </c>
      <c r="AK327" s="123" t="s">
        <v>208</v>
      </c>
      <c r="AL327" s="367">
        <v>47.2</v>
      </c>
      <c r="AM327" s="365">
        <v>24</v>
      </c>
      <c r="AN327" s="127">
        <v>4.125</v>
      </c>
      <c r="AO327" s="126">
        <f t="shared" si="20"/>
        <v>4.0640999999999998</v>
      </c>
      <c r="AP327" s="123" t="s">
        <v>208</v>
      </c>
      <c r="AQ327" s="367">
        <v>47.2</v>
      </c>
      <c r="AR327" s="365">
        <v>24</v>
      </c>
      <c r="AS327" s="127">
        <v>4.125</v>
      </c>
    </row>
    <row r="328" spans="11:45" x14ac:dyDescent="0.25">
      <c r="K328" s="125"/>
      <c r="L328" s="166"/>
      <c r="M328" s="166"/>
      <c r="N328" s="166"/>
      <c r="O328" s="166"/>
      <c r="P328" s="154">
        <f t="shared" si="15"/>
        <v>4.125</v>
      </c>
      <c r="Q328" s="123" t="s">
        <v>137</v>
      </c>
      <c r="R328" s="366">
        <v>75.7</v>
      </c>
      <c r="S328" s="365">
        <v>24</v>
      </c>
      <c r="T328" s="127">
        <v>4.1641999999999992</v>
      </c>
      <c r="U328" s="126">
        <f t="shared" si="22"/>
        <v>4.125</v>
      </c>
      <c r="V328" s="123" t="s">
        <v>137</v>
      </c>
      <c r="W328" s="366">
        <v>75.7</v>
      </c>
      <c r="X328" s="365">
        <v>24</v>
      </c>
      <c r="Y328" s="127">
        <v>4.1641999999999992</v>
      </c>
      <c r="Z328" s="126">
        <f t="shared" si="23"/>
        <v>4.125</v>
      </c>
      <c r="AA328" s="123" t="s">
        <v>137</v>
      </c>
      <c r="AB328" s="366">
        <v>75.7</v>
      </c>
      <c r="AC328" s="365">
        <v>24</v>
      </c>
      <c r="AD328" s="127">
        <v>4.1641999999999992</v>
      </c>
      <c r="AE328" s="122">
        <f t="shared" si="18"/>
        <v>4.125</v>
      </c>
      <c r="AF328" s="123" t="s">
        <v>137</v>
      </c>
      <c r="AG328" s="366">
        <v>75.7</v>
      </c>
      <c r="AH328" s="365">
        <v>24</v>
      </c>
      <c r="AI328" s="127">
        <v>4.1641999999999992</v>
      </c>
      <c r="AJ328" s="126">
        <f t="shared" si="19"/>
        <v>4.125</v>
      </c>
      <c r="AK328" s="123" t="s">
        <v>137</v>
      </c>
      <c r="AL328" s="366">
        <v>75.7</v>
      </c>
      <c r="AM328" s="365">
        <v>24</v>
      </c>
      <c r="AN328" s="127">
        <v>4.1641999999999992</v>
      </c>
      <c r="AO328" s="126">
        <f t="shared" si="20"/>
        <v>4.125</v>
      </c>
      <c r="AP328" s="123" t="s">
        <v>137</v>
      </c>
      <c r="AQ328" s="366">
        <v>75.7</v>
      </c>
      <c r="AR328" s="365">
        <v>24</v>
      </c>
      <c r="AS328" s="127">
        <v>4.1641999999999992</v>
      </c>
    </row>
    <row r="329" spans="11:45" x14ac:dyDescent="0.25">
      <c r="K329" s="125"/>
      <c r="L329" s="166"/>
      <c r="M329" s="166"/>
      <c r="N329" s="166"/>
      <c r="O329" s="166"/>
      <c r="P329" s="154">
        <f t="shared" si="15"/>
        <v>4.1641999999999992</v>
      </c>
      <c r="Q329" s="123" t="s">
        <v>154</v>
      </c>
      <c r="R329" s="366">
        <v>87.9</v>
      </c>
      <c r="S329" s="365">
        <v>24</v>
      </c>
      <c r="T329" s="127">
        <v>4.2549000000000001</v>
      </c>
      <c r="U329" s="126">
        <f t="shared" si="22"/>
        <v>4.1641999999999992</v>
      </c>
      <c r="V329" s="123" t="s">
        <v>154</v>
      </c>
      <c r="W329" s="366">
        <v>87.9</v>
      </c>
      <c r="X329" s="365">
        <v>24</v>
      </c>
      <c r="Y329" s="127">
        <v>4.2549000000000001</v>
      </c>
      <c r="Z329" s="126">
        <f t="shared" si="23"/>
        <v>4.1641999999999992</v>
      </c>
      <c r="AA329" s="123" t="s">
        <v>154</v>
      </c>
      <c r="AB329" s="366">
        <v>87.9</v>
      </c>
      <c r="AC329" s="365">
        <v>24</v>
      </c>
      <c r="AD329" s="127">
        <v>4.2549000000000001</v>
      </c>
      <c r="AE329" s="122">
        <f t="shared" si="18"/>
        <v>4.1641999999999992</v>
      </c>
      <c r="AF329" s="123" t="s">
        <v>154</v>
      </c>
      <c r="AG329" s="366">
        <v>87.9</v>
      </c>
      <c r="AH329" s="365">
        <v>24</v>
      </c>
      <c r="AI329" s="127">
        <v>4.2549000000000001</v>
      </c>
      <c r="AJ329" s="126">
        <f t="shared" si="19"/>
        <v>4.1641999999999992</v>
      </c>
      <c r="AK329" s="123" t="s">
        <v>154</v>
      </c>
      <c r="AL329" s="366">
        <v>87.9</v>
      </c>
      <c r="AM329" s="365">
        <v>24</v>
      </c>
      <c r="AN329" s="127">
        <v>4.2549000000000001</v>
      </c>
      <c r="AO329" s="126">
        <f t="shared" si="20"/>
        <v>4.1641999999999992</v>
      </c>
      <c r="AP329" s="123" t="s">
        <v>154</v>
      </c>
      <c r="AQ329" s="366">
        <v>87.9</v>
      </c>
      <c r="AR329" s="365">
        <v>24</v>
      </c>
      <c r="AS329" s="127">
        <v>4.2549000000000001</v>
      </c>
    </row>
    <row r="330" spans="11:45" x14ac:dyDescent="0.25">
      <c r="K330" s="125"/>
      <c r="L330" s="166"/>
      <c r="M330" s="166"/>
      <c r="N330" s="166"/>
      <c r="O330" s="166"/>
      <c r="P330" s="154">
        <f t="shared" si="15"/>
        <v>4.2549000000000001</v>
      </c>
      <c r="Q330" s="123" t="s">
        <v>177</v>
      </c>
      <c r="R330" s="366">
        <v>70.3</v>
      </c>
      <c r="S330" s="365">
        <v>24</v>
      </c>
      <c r="T330" s="127">
        <v>4.2738000000000005</v>
      </c>
      <c r="U330" s="126">
        <f t="shared" si="22"/>
        <v>4.2549000000000001</v>
      </c>
      <c r="V330" s="123" t="s">
        <v>177</v>
      </c>
      <c r="W330" s="366">
        <v>70.3</v>
      </c>
      <c r="X330" s="365">
        <v>24</v>
      </c>
      <c r="Y330" s="127">
        <v>4.2738000000000005</v>
      </c>
      <c r="Z330" s="126">
        <f t="shared" si="23"/>
        <v>4.2549000000000001</v>
      </c>
      <c r="AA330" s="123" t="s">
        <v>177</v>
      </c>
      <c r="AB330" s="366">
        <v>70.3</v>
      </c>
      <c r="AC330" s="365">
        <v>24</v>
      </c>
      <c r="AD330" s="127">
        <v>4.2738000000000005</v>
      </c>
      <c r="AE330" s="122">
        <f t="shared" si="18"/>
        <v>4.2549000000000001</v>
      </c>
      <c r="AF330" s="123" t="s">
        <v>177</v>
      </c>
      <c r="AG330" s="366">
        <v>70.3</v>
      </c>
      <c r="AH330" s="365">
        <v>24</v>
      </c>
      <c r="AI330" s="127">
        <v>4.2738000000000005</v>
      </c>
      <c r="AJ330" s="126">
        <f t="shared" si="19"/>
        <v>4.2549000000000001</v>
      </c>
      <c r="AK330" s="123" t="s">
        <v>177</v>
      </c>
      <c r="AL330" s="366">
        <v>70.3</v>
      </c>
      <c r="AM330" s="365">
        <v>24</v>
      </c>
      <c r="AN330" s="127">
        <v>4.2738000000000005</v>
      </c>
      <c r="AO330" s="126">
        <f t="shared" si="20"/>
        <v>4.2549000000000001</v>
      </c>
      <c r="AP330" s="123" t="s">
        <v>177</v>
      </c>
      <c r="AQ330" s="366">
        <v>70.3</v>
      </c>
      <c r="AR330" s="365">
        <v>24</v>
      </c>
      <c r="AS330" s="127">
        <v>4.2738000000000005</v>
      </c>
    </row>
    <row r="331" spans="11:45" x14ac:dyDescent="0.25">
      <c r="K331" s="125"/>
      <c r="L331" s="166"/>
      <c r="M331" s="166"/>
      <c r="N331" s="166"/>
      <c r="O331" s="166"/>
      <c r="P331" s="154">
        <f t="shared" si="15"/>
        <v>4.2738000000000005</v>
      </c>
      <c r="Q331" s="123" t="s">
        <v>209</v>
      </c>
      <c r="R331" s="367">
        <v>56.5</v>
      </c>
      <c r="S331" s="365">
        <v>24</v>
      </c>
      <c r="T331" s="127">
        <v>4.4249999999999998</v>
      </c>
      <c r="U331" s="126">
        <f t="shared" si="22"/>
        <v>4.2738000000000005</v>
      </c>
      <c r="V331" s="123" t="s">
        <v>209</v>
      </c>
      <c r="W331" s="367">
        <v>56.5</v>
      </c>
      <c r="X331" s="365">
        <v>24</v>
      </c>
      <c r="Y331" s="127">
        <v>4.4249999999999998</v>
      </c>
      <c r="Z331" s="126">
        <f t="shared" si="23"/>
        <v>4.2738000000000005</v>
      </c>
      <c r="AA331" s="123" t="s">
        <v>209</v>
      </c>
      <c r="AB331" s="367">
        <v>56.5</v>
      </c>
      <c r="AC331" s="365">
        <v>24</v>
      </c>
      <c r="AD331" s="127">
        <v>4.4249999999999998</v>
      </c>
      <c r="AE331" s="122">
        <f t="shared" si="18"/>
        <v>4.2738000000000005</v>
      </c>
      <c r="AF331" s="123" t="s">
        <v>209</v>
      </c>
      <c r="AG331" s="367">
        <v>56.5</v>
      </c>
      <c r="AH331" s="365">
        <v>24</v>
      </c>
      <c r="AI331" s="127">
        <v>4.4249999999999998</v>
      </c>
      <c r="AJ331" s="126">
        <f t="shared" si="19"/>
        <v>4.2738000000000005</v>
      </c>
      <c r="AK331" s="123" t="s">
        <v>209</v>
      </c>
      <c r="AL331" s="367">
        <v>56.5</v>
      </c>
      <c r="AM331" s="365">
        <v>24</v>
      </c>
      <c r="AN331" s="127">
        <v>4.4249999999999998</v>
      </c>
      <c r="AO331" s="126">
        <f t="shared" si="20"/>
        <v>4.2738000000000005</v>
      </c>
      <c r="AP331" s="123" t="s">
        <v>209</v>
      </c>
      <c r="AQ331" s="367">
        <v>56.5</v>
      </c>
      <c r="AR331" s="365">
        <v>24</v>
      </c>
      <c r="AS331" s="127">
        <v>4.4249999999999998</v>
      </c>
    </row>
    <row r="332" spans="11:45" x14ac:dyDescent="0.25">
      <c r="K332" s="125"/>
      <c r="L332" s="166"/>
      <c r="M332" s="166"/>
      <c r="N332" s="166"/>
      <c r="O332" s="166"/>
      <c r="P332" s="154">
        <f t="shared" si="15"/>
        <v>4.4249999999999998</v>
      </c>
      <c r="Q332" s="123" t="s">
        <v>210</v>
      </c>
      <c r="R332" s="367">
        <v>64.7</v>
      </c>
      <c r="S332" s="365">
        <v>24</v>
      </c>
      <c r="T332" s="127">
        <v>4.5750000000000002</v>
      </c>
      <c r="U332" s="126">
        <f t="shared" si="22"/>
        <v>4.4249999999999998</v>
      </c>
      <c r="V332" s="123" t="s">
        <v>210</v>
      </c>
      <c r="W332" s="367">
        <v>64.7</v>
      </c>
      <c r="X332" s="365">
        <v>24</v>
      </c>
      <c r="Y332" s="127">
        <v>4.5750000000000002</v>
      </c>
      <c r="Z332" s="126">
        <f t="shared" si="23"/>
        <v>4.4249999999999998</v>
      </c>
      <c r="AA332" s="123" t="s">
        <v>210</v>
      </c>
      <c r="AB332" s="367">
        <v>64.7</v>
      </c>
      <c r="AC332" s="365">
        <v>24</v>
      </c>
      <c r="AD332" s="127">
        <v>4.5750000000000002</v>
      </c>
      <c r="AE332" s="122">
        <f t="shared" si="18"/>
        <v>4.4249999999999998</v>
      </c>
      <c r="AF332" s="123" t="s">
        <v>210</v>
      </c>
      <c r="AG332" s="367">
        <v>64.7</v>
      </c>
      <c r="AH332" s="365">
        <v>24</v>
      </c>
      <c r="AI332" s="127">
        <v>4.5750000000000002</v>
      </c>
      <c r="AJ332" s="126">
        <f t="shared" si="19"/>
        <v>4.4249999999999998</v>
      </c>
      <c r="AK332" s="123" t="s">
        <v>210</v>
      </c>
      <c r="AL332" s="367">
        <v>64.7</v>
      </c>
      <c r="AM332" s="365">
        <v>24</v>
      </c>
      <c r="AN332" s="127">
        <v>4.5750000000000002</v>
      </c>
      <c r="AO332" s="126">
        <f t="shared" si="20"/>
        <v>4.4249999999999998</v>
      </c>
      <c r="AP332" s="123" t="s">
        <v>210</v>
      </c>
      <c r="AQ332" s="367">
        <v>64.7</v>
      </c>
      <c r="AR332" s="365">
        <v>24</v>
      </c>
      <c r="AS332" s="127">
        <v>4.5750000000000002</v>
      </c>
    </row>
    <row r="333" spans="11:45" x14ac:dyDescent="0.25">
      <c r="K333" s="125"/>
      <c r="L333" s="166"/>
      <c r="M333" s="166"/>
      <c r="N333" s="166"/>
      <c r="O333" s="166"/>
      <c r="P333" s="154">
        <f t="shared" si="15"/>
        <v>4.5750000000000002</v>
      </c>
      <c r="Q333" s="59" t="s">
        <v>178</v>
      </c>
      <c r="R333" s="366">
        <v>77.8</v>
      </c>
      <c r="S333" s="365">
        <v>24</v>
      </c>
      <c r="T333" s="127">
        <v>4.6619999999999999</v>
      </c>
      <c r="U333" s="126">
        <f t="shared" si="22"/>
        <v>4.5750000000000002</v>
      </c>
      <c r="V333" s="59" t="s">
        <v>178</v>
      </c>
      <c r="W333" s="366">
        <v>77.8</v>
      </c>
      <c r="X333" s="365">
        <v>24</v>
      </c>
      <c r="Y333" s="127">
        <v>4.6619999999999999</v>
      </c>
      <c r="Z333" s="126">
        <f t="shared" si="23"/>
        <v>4.5750000000000002</v>
      </c>
      <c r="AA333" s="59" t="s">
        <v>178</v>
      </c>
      <c r="AB333" s="366">
        <v>77.8</v>
      </c>
      <c r="AC333" s="365">
        <v>24</v>
      </c>
      <c r="AD333" s="127">
        <v>4.6619999999999999</v>
      </c>
      <c r="AE333" s="122">
        <f t="shared" si="18"/>
        <v>4.5750000000000002</v>
      </c>
      <c r="AF333" s="59" t="s">
        <v>178</v>
      </c>
      <c r="AG333" s="366">
        <v>77.8</v>
      </c>
      <c r="AH333" s="365">
        <v>24</v>
      </c>
      <c r="AI333" s="127">
        <v>4.6619999999999999</v>
      </c>
      <c r="AJ333" s="126">
        <f t="shared" si="19"/>
        <v>4.5750000000000002</v>
      </c>
      <c r="AK333" s="59" t="s">
        <v>178</v>
      </c>
      <c r="AL333" s="366">
        <v>77.8</v>
      </c>
      <c r="AM333" s="365">
        <v>24</v>
      </c>
      <c r="AN333" s="127">
        <v>4.6619999999999999</v>
      </c>
      <c r="AO333" s="126">
        <f t="shared" si="20"/>
        <v>4.5750000000000002</v>
      </c>
      <c r="AP333" s="59" t="s">
        <v>178</v>
      </c>
      <c r="AQ333" s="366">
        <v>77.8</v>
      </c>
      <c r="AR333" s="365">
        <v>24</v>
      </c>
      <c r="AS333" s="127">
        <v>4.6619999999999999</v>
      </c>
    </row>
    <row r="334" spans="11:45" x14ac:dyDescent="0.25">
      <c r="K334" s="125"/>
      <c r="L334" s="166"/>
      <c r="M334" s="166"/>
      <c r="N334" s="166"/>
      <c r="O334" s="166"/>
      <c r="P334" s="154">
        <f t="shared" si="15"/>
        <v>4.6619999999999999</v>
      </c>
      <c r="Q334" s="123" t="s">
        <v>155</v>
      </c>
      <c r="R334" s="366">
        <v>97.4</v>
      </c>
      <c r="S334" s="365">
        <v>24</v>
      </c>
      <c r="T334" s="127">
        <v>4.6913</v>
      </c>
      <c r="U334" s="126">
        <f t="shared" si="22"/>
        <v>4.6619999999999999</v>
      </c>
      <c r="V334" s="123" t="s">
        <v>155</v>
      </c>
      <c r="W334" s="366">
        <v>97.4</v>
      </c>
      <c r="X334" s="365">
        <v>24</v>
      </c>
      <c r="Y334" s="127">
        <v>4.6913</v>
      </c>
      <c r="Z334" s="126">
        <f t="shared" si="23"/>
        <v>4.6619999999999999</v>
      </c>
      <c r="AA334" s="123" t="s">
        <v>155</v>
      </c>
      <c r="AB334" s="366">
        <v>97.4</v>
      </c>
      <c r="AC334" s="365">
        <v>24</v>
      </c>
      <c r="AD334" s="127">
        <v>4.6913</v>
      </c>
      <c r="AE334" s="122">
        <f t="shared" si="18"/>
        <v>4.6619999999999999</v>
      </c>
      <c r="AF334" s="123" t="s">
        <v>155</v>
      </c>
      <c r="AG334" s="366">
        <v>97.4</v>
      </c>
      <c r="AH334" s="365">
        <v>24</v>
      </c>
      <c r="AI334" s="127">
        <v>4.6913</v>
      </c>
      <c r="AJ334" s="126">
        <f t="shared" si="19"/>
        <v>4.6619999999999999</v>
      </c>
      <c r="AK334" s="123" t="s">
        <v>155</v>
      </c>
      <c r="AL334" s="366">
        <v>97.4</v>
      </c>
      <c r="AM334" s="365">
        <v>24</v>
      </c>
      <c r="AN334" s="127">
        <v>4.6913</v>
      </c>
      <c r="AO334" s="126">
        <f t="shared" si="20"/>
        <v>4.6619999999999999</v>
      </c>
      <c r="AP334" s="123" t="s">
        <v>155</v>
      </c>
      <c r="AQ334" s="366">
        <v>97.4</v>
      </c>
      <c r="AR334" s="365">
        <v>24</v>
      </c>
      <c r="AS334" s="127">
        <v>4.6913</v>
      </c>
    </row>
    <row r="335" spans="11:45" x14ac:dyDescent="0.25">
      <c r="K335" s="125"/>
      <c r="L335" s="166"/>
      <c r="M335" s="166"/>
      <c r="N335" s="166"/>
      <c r="O335" s="166"/>
      <c r="P335" s="154">
        <f t="shared" si="15"/>
        <v>4.6913</v>
      </c>
      <c r="Q335" s="123" t="s">
        <v>138</v>
      </c>
      <c r="R335" s="366">
        <v>85.9</v>
      </c>
      <c r="S335" s="365">
        <v>24</v>
      </c>
      <c r="T335" s="127">
        <v>4.6958000000000002</v>
      </c>
      <c r="U335" s="126">
        <f t="shared" si="22"/>
        <v>4.6913</v>
      </c>
      <c r="V335" s="123" t="s">
        <v>138</v>
      </c>
      <c r="W335" s="366">
        <v>85.9</v>
      </c>
      <c r="X335" s="365">
        <v>24</v>
      </c>
      <c r="Y335" s="127">
        <v>4.6958000000000002</v>
      </c>
      <c r="Z335" s="126">
        <f t="shared" si="23"/>
        <v>4.6913</v>
      </c>
      <c r="AA335" s="123" t="s">
        <v>138</v>
      </c>
      <c r="AB335" s="366">
        <v>85.9</v>
      </c>
      <c r="AC335" s="365">
        <v>24</v>
      </c>
      <c r="AD335" s="127">
        <v>4.6958000000000002</v>
      </c>
      <c r="AE335" s="122">
        <f t="shared" si="18"/>
        <v>4.6913</v>
      </c>
      <c r="AF335" s="123" t="s">
        <v>138</v>
      </c>
      <c r="AG335" s="366">
        <v>85.9</v>
      </c>
      <c r="AH335" s="365">
        <v>24</v>
      </c>
      <c r="AI335" s="127">
        <v>4.6958000000000002</v>
      </c>
      <c r="AJ335" s="126">
        <f t="shared" si="19"/>
        <v>4.6913</v>
      </c>
      <c r="AK335" s="123" t="s">
        <v>138</v>
      </c>
      <c r="AL335" s="366">
        <v>85.9</v>
      </c>
      <c r="AM335" s="365">
        <v>24</v>
      </c>
      <c r="AN335" s="127">
        <v>4.6958000000000002</v>
      </c>
      <c r="AO335" s="126">
        <f t="shared" si="20"/>
        <v>4.6913</v>
      </c>
      <c r="AP335" s="123" t="s">
        <v>138</v>
      </c>
      <c r="AQ335" s="366">
        <v>85.9</v>
      </c>
      <c r="AR335" s="365">
        <v>24</v>
      </c>
      <c r="AS335" s="127">
        <v>4.6958000000000002</v>
      </c>
    </row>
    <row r="336" spans="11:45" x14ac:dyDescent="0.25">
      <c r="K336" s="125"/>
      <c r="L336" s="166"/>
      <c r="M336" s="166"/>
      <c r="N336" s="166"/>
      <c r="O336" s="166"/>
      <c r="P336" s="154">
        <f t="shared" ref="P336:P357" si="24">T335</f>
        <v>4.6958000000000002</v>
      </c>
      <c r="Q336" s="59" t="s">
        <v>179</v>
      </c>
      <c r="R336" s="366">
        <v>92.2</v>
      </c>
      <c r="S336" s="365">
        <v>24</v>
      </c>
      <c r="T336" s="127">
        <v>4.7250000000000005</v>
      </c>
      <c r="U336" s="126">
        <f t="shared" ref="U336:U367" si="25">Y335</f>
        <v>4.6958000000000002</v>
      </c>
      <c r="V336" s="59" t="s">
        <v>179</v>
      </c>
      <c r="W336" s="366">
        <v>92.2</v>
      </c>
      <c r="X336" s="365">
        <v>24</v>
      </c>
      <c r="Y336" s="127">
        <v>4.7250000000000005</v>
      </c>
      <c r="Z336" s="126">
        <f t="shared" ref="Z336:Z367" si="26">AD335</f>
        <v>4.6958000000000002</v>
      </c>
      <c r="AA336" s="59" t="s">
        <v>179</v>
      </c>
      <c r="AB336" s="366">
        <v>92.2</v>
      </c>
      <c r="AC336" s="365">
        <v>24</v>
      </c>
      <c r="AD336" s="127">
        <v>4.7250000000000005</v>
      </c>
      <c r="AE336" s="122">
        <f t="shared" ref="AE336:AE399" si="27">AI335</f>
        <v>4.6958000000000002</v>
      </c>
      <c r="AF336" s="59" t="s">
        <v>179</v>
      </c>
      <c r="AG336" s="366">
        <v>92.2</v>
      </c>
      <c r="AH336" s="365">
        <v>24</v>
      </c>
      <c r="AI336" s="127">
        <v>4.7250000000000005</v>
      </c>
      <c r="AJ336" s="126">
        <f t="shared" ref="AJ336:AJ399" si="28">AN335</f>
        <v>4.6958000000000002</v>
      </c>
      <c r="AK336" s="59" t="s">
        <v>179</v>
      </c>
      <c r="AL336" s="366">
        <v>92.2</v>
      </c>
      <c r="AM336" s="365">
        <v>24</v>
      </c>
      <c r="AN336" s="127">
        <v>4.7250000000000005</v>
      </c>
      <c r="AO336" s="126">
        <f t="shared" ref="AO336:AO399" si="29">AS335</f>
        <v>4.6958000000000002</v>
      </c>
      <c r="AP336" s="59" t="s">
        <v>179</v>
      </c>
      <c r="AQ336" s="366">
        <v>92.2</v>
      </c>
      <c r="AR336" s="365">
        <v>24</v>
      </c>
      <c r="AS336" s="127">
        <v>4.7250000000000005</v>
      </c>
    </row>
    <row r="337" spans="11:45" x14ac:dyDescent="0.25">
      <c r="K337" s="125"/>
      <c r="L337" s="166"/>
      <c r="M337" s="166"/>
      <c r="N337" s="166"/>
      <c r="O337" s="166"/>
      <c r="P337" s="154">
        <f t="shared" si="24"/>
        <v>4.7250000000000005</v>
      </c>
      <c r="Q337" s="59" t="s">
        <v>90</v>
      </c>
      <c r="R337" s="367">
        <v>66.8</v>
      </c>
      <c r="S337" s="365">
        <v>24</v>
      </c>
      <c r="T337" s="127">
        <v>4.7458499999999999</v>
      </c>
      <c r="U337" s="126">
        <f t="shared" si="25"/>
        <v>4.7250000000000005</v>
      </c>
      <c r="V337" s="59" t="s">
        <v>90</v>
      </c>
      <c r="W337" s="367">
        <v>66.8</v>
      </c>
      <c r="X337" s="365">
        <v>24</v>
      </c>
      <c r="Y337" s="127">
        <v>4.7458499999999999</v>
      </c>
      <c r="Z337" s="126">
        <f t="shared" si="26"/>
        <v>4.7250000000000005</v>
      </c>
      <c r="AA337" s="59" t="s">
        <v>90</v>
      </c>
      <c r="AB337" s="367">
        <v>66.8</v>
      </c>
      <c r="AC337" s="365">
        <v>24</v>
      </c>
      <c r="AD337" s="127">
        <v>4.7458499999999999</v>
      </c>
      <c r="AE337" s="122">
        <f t="shared" si="27"/>
        <v>4.7250000000000005</v>
      </c>
      <c r="AF337" s="59" t="s">
        <v>90</v>
      </c>
      <c r="AG337" s="367">
        <v>66.8</v>
      </c>
      <c r="AH337" s="365">
        <v>24</v>
      </c>
      <c r="AI337" s="127">
        <v>4.7458499999999999</v>
      </c>
      <c r="AJ337" s="126">
        <f t="shared" si="28"/>
        <v>4.7250000000000005</v>
      </c>
      <c r="AK337" s="59" t="s">
        <v>90</v>
      </c>
      <c r="AL337" s="367">
        <v>66.8</v>
      </c>
      <c r="AM337" s="365">
        <v>24</v>
      </c>
      <c r="AN337" s="127">
        <v>4.7458499999999999</v>
      </c>
      <c r="AO337" s="126">
        <f t="shared" si="29"/>
        <v>4.7250000000000005</v>
      </c>
      <c r="AP337" s="59" t="s">
        <v>90</v>
      </c>
      <c r="AQ337" s="367">
        <v>66.8</v>
      </c>
      <c r="AR337" s="365">
        <v>24</v>
      </c>
      <c r="AS337" s="127">
        <v>4.7458499999999999</v>
      </c>
    </row>
    <row r="338" spans="11:45" x14ac:dyDescent="0.25">
      <c r="K338" s="125"/>
      <c r="L338" s="166"/>
      <c r="M338" s="166"/>
      <c r="N338" s="166"/>
      <c r="O338" s="166"/>
      <c r="P338" s="154">
        <f t="shared" si="24"/>
        <v>4.7458499999999999</v>
      </c>
      <c r="Q338" s="123" t="s">
        <v>89</v>
      </c>
      <c r="R338" s="367">
        <v>58.8</v>
      </c>
      <c r="S338" s="365">
        <v>24</v>
      </c>
      <c r="T338" s="127">
        <v>5.0058999999999996</v>
      </c>
      <c r="U338" s="126">
        <f t="shared" si="25"/>
        <v>4.7458499999999999</v>
      </c>
      <c r="V338" s="123" t="s">
        <v>89</v>
      </c>
      <c r="W338" s="367">
        <v>58.8</v>
      </c>
      <c r="X338" s="365">
        <v>24</v>
      </c>
      <c r="Y338" s="127">
        <v>5.0058999999999996</v>
      </c>
      <c r="Z338" s="126">
        <f t="shared" si="26"/>
        <v>4.7458499999999999</v>
      </c>
      <c r="AA338" s="123" t="s">
        <v>89</v>
      </c>
      <c r="AB338" s="367">
        <v>58.8</v>
      </c>
      <c r="AC338" s="365">
        <v>24</v>
      </c>
      <c r="AD338" s="127">
        <v>5.0058999999999996</v>
      </c>
      <c r="AE338" s="122">
        <f t="shared" si="27"/>
        <v>4.7458499999999999</v>
      </c>
      <c r="AF338" s="123" t="s">
        <v>89</v>
      </c>
      <c r="AG338" s="367">
        <v>58.8</v>
      </c>
      <c r="AH338" s="365">
        <v>24</v>
      </c>
      <c r="AI338" s="127">
        <v>5.0058999999999996</v>
      </c>
      <c r="AJ338" s="126">
        <f t="shared" si="28"/>
        <v>4.7458499999999999</v>
      </c>
      <c r="AK338" s="123" t="s">
        <v>89</v>
      </c>
      <c r="AL338" s="367">
        <v>58.8</v>
      </c>
      <c r="AM338" s="365">
        <v>24</v>
      </c>
      <c r="AN338" s="127">
        <v>5.0058999999999996</v>
      </c>
      <c r="AO338" s="126">
        <f t="shared" si="29"/>
        <v>4.7458499999999999</v>
      </c>
      <c r="AP338" s="123" t="s">
        <v>89</v>
      </c>
      <c r="AQ338" s="367">
        <v>58.8</v>
      </c>
      <c r="AR338" s="365">
        <v>24</v>
      </c>
      <c r="AS338" s="127">
        <v>5.0058999999999996</v>
      </c>
    </row>
    <row r="339" spans="11:45" x14ac:dyDescent="0.25">
      <c r="K339" s="125"/>
      <c r="L339" s="166"/>
      <c r="M339" s="166"/>
      <c r="N339" s="166"/>
      <c r="O339" s="166"/>
      <c r="P339" s="154">
        <f t="shared" si="24"/>
        <v>5.0058999999999996</v>
      </c>
      <c r="Q339" s="123" t="s">
        <v>156</v>
      </c>
      <c r="R339" s="368">
        <v>107</v>
      </c>
      <c r="S339" s="365">
        <v>24</v>
      </c>
      <c r="T339" s="127">
        <v>5.1276999999999999</v>
      </c>
      <c r="U339" s="126">
        <f t="shared" si="25"/>
        <v>5.0058999999999996</v>
      </c>
      <c r="V339" s="123" t="s">
        <v>218</v>
      </c>
      <c r="W339" s="367">
        <v>57.6</v>
      </c>
      <c r="X339" s="365">
        <v>30</v>
      </c>
      <c r="Y339" s="127">
        <v>5.0549999999999988</v>
      </c>
      <c r="Z339" s="126">
        <f t="shared" si="26"/>
        <v>5.0058999999999996</v>
      </c>
      <c r="AA339" s="123" t="s">
        <v>218</v>
      </c>
      <c r="AB339" s="367">
        <v>57.6</v>
      </c>
      <c r="AC339" s="365">
        <v>30</v>
      </c>
      <c r="AD339" s="127">
        <v>5.0549999999999988</v>
      </c>
      <c r="AE339" s="122">
        <f t="shared" si="27"/>
        <v>5.0058999999999996</v>
      </c>
      <c r="AF339" s="123" t="s">
        <v>218</v>
      </c>
      <c r="AG339" s="367">
        <v>57.6</v>
      </c>
      <c r="AH339" s="365">
        <v>30</v>
      </c>
      <c r="AI339" s="127">
        <v>5.0549999999999988</v>
      </c>
      <c r="AJ339" s="126">
        <f t="shared" si="28"/>
        <v>5.0058999999999996</v>
      </c>
      <c r="AK339" s="123" t="s">
        <v>218</v>
      </c>
      <c r="AL339" s="367">
        <v>57.6</v>
      </c>
      <c r="AM339" s="365">
        <v>30</v>
      </c>
      <c r="AN339" s="127">
        <v>5.0549999999999988</v>
      </c>
      <c r="AO339" s="126">
        <f t="shared" si="29"/>
        <v>5.0058999999999996</v>
      </c>
      <c r="AP339" s="123" t="s">
        <v>218</v>
      </c>
      <c r="AQ339" s="367">
        <v>57.6</v>
      </c>
      <c r="AR339" s="365">
        <v>30</v>
      </c>
      <c r="AS339" s="127">
        <v>5.0549999999999988</v>
      </c>
    </row>
    <row r="340" spans="11:45" x14ac:dyDescent="0.25">
      <c r="K340" s="125"/>
      <c r="L340" s="166"/>
      <c r="M340" s="166"/>
      <c r="N340" s="166"/>
      <c r="O340" s="166"/>
      <c r="P340" s="154">
        <f t="shared" si="24"/>
        <v>5.1276999999999999</v>
      </c>
      <c r="Q340" s="123" t="s">
        <v>211</v>
      </c>
      <c r="R340" s="367">
        <v>72.7</v>
      </c>
      <c r="S340" s="365">
        <v>24</v>
      </c>
      <c r="T340" s="127">
        <v>5.1749999999999998</v>
      </c>
      <c r="U340" s="126">
        <f t="shared" si="25"/>
        <v>5.0549999999999988</v>
      </c>
      <c r="V340" s="123" t="s">
        <v>156</v>
      </c>
      <c r="W340" s="368">
        <v>107</v>
      </c>
      <c r="X340" s="365">
        <v>24</v>
      </c>
      <c r="Y340" s="127">
        <v>5.1276999999999999</v>
      </c>
      <c r="Z340" s="126">
        <f t="shared" si="26"/>
        <v>5.0549999999999988</v>
      </c>
      <c r="AA340" s="123" t="s">
        <v>156</v>
      </c>
      <c r="AB340" s="368">
        <v>107</v>
      </c>
      <c r="AC340" s="365">
        <v>24</v>
      </c>
      <c r="AD340" s="127">
        <v>5.1276999999999999</v>
      </c>
      <c r="AE340" s="122">
        <f t="shared" si="27"/>
        <v>5.0549999999999988</v>
      </c>
      <c r="AF340" s="123" t="s">
        <v>156</v>
      </c>
      <c r="AG340" s="368">
        <v>107</v>
      </c>
      <c r="AH340" s="365">
        <v>24</v>
      </c>
      <c r="AI340" s="127">
        <v>5.1276999999999999</v>
      </c>
      <c r="AJ340" s="126">
        <f t="shared" si="28"/>
        <v>5.0549999999999988</v>
      </c>
      <c r="AK340" s="123" t="s">
        <v>98</v>
      </c>
      <c r="AL340" s="367">
        <v>107</v>
      </c>
      <c r="AM340" s="365">
        <v>30</v>
      </c>
      <c r="AN340" s="127">
        <v>5.1276999999999999</v>
      </c>
      <c r="AO340" s="126">
        <f t="shared" si="29"/>
        <v>5.0549999999999988</v>
      </c>
      <c r="AP340" s="123" t="s">
        <v>98</v>
      </c>
      <c r="AQ340" s="367">
        <v>107</v>
      </c>
      <c r="AR340" s="365">
        <v>30</v>
      </c>
      <c r="AS340" s="127">
        <v>5.1276999999999999</v>
      </c>
    </row>
    <row r="341" spans="11:45" x14ac:dyDescent="0.25">
      <c r="K341" s="125"/>
      <c r="L341" s="166"/>
      <c r="M341" s="166"/>
      <c r="N341" s="166"/>
      <c r="O341" s="166"/>
      <c r="P341" s="154">
        <f t="shared" si="24"/>
        <v>5.1749999999999998</v>
      </c>
      <c r="Q341" s="59" t="s">
        <v>180</v>
      </c>
      <c r="R341" s="367">
        <v>103</v>
      </c>
      <c r="S341" s="365">
        <v>24</v>
      </c>
      <c r="T341" s="127">
        <v>5.2289999999999992</v>
      </c>
      <c r="U341" s="126">
        <f t="shared" si="25"/>
        <v>5.1276999999999999</v>
      </c>
      <c r="V341" s="123" t="s">
        <v>211</v>
      </c>
      <c r="W341" s="367">
        <v>72.7</v>
      </c>
      <c r="X341" s="365">
        <v>24</v>
      </c>
      <c r="Y341" s="127">
        <v>5.1749999999999998</v>
      </c>
      <c r="Z341" s="126">
        <f t="shared" si="26"/>
        <v>5.1276999999999999</v>
      </c>
      <c r="AA341" s="123" t="s">
        <v>211</v>
      </c>
      <c r="AB341" s="367">
        <v>72.7</v>
      </c>
      <c r="AC341" s="365">
        <v>24</v>
      </c>
      <c r="AD341" s="127">
        <v>5.1749999999999998</v>
      </c>
      <c r="AE341" s="122">
        <f t="shared" si="27"/>
        <v>5.1276999999999999</v>
      </c>
      <c r="AF341" s="123" t="s">
        <v>211</v>
      </c>
      <c r="AG341" s="367">
        <v>72.7</v>
      </c>
      <c r="AH341" s="365">
        <v>24</v>
      </c>
      <c r="AI341" s="127">
        <v>5.1749999999999998</v>
      </c>
      <c r="AJ341" s="126">
        <f t="shared" si="28"/>
        <v>5.1276999999999999</v>
      </c>
      <c r="AK341" s="123" t="s">
        <v>211</v>
      </c>
      <c r="AL341" s="367">
        <v>72.7</v>
      </c>
      <c r="AM341" s="365">
        <v>24</v>
      </c>
      <c r="AN341" s="127">
        <v>5.1749999999999998</v>
      </c>
      <c r="AO341" s="126">
        <f t="shared" si="29"/>
        <v>5.1276999999999999</v>
      </c>
      <c r="AP341" s="123" t="s">
        <v>211</v>
      </c>
      <c r="AQ341" s="367">
        <v>72.7</v>
      </c>
      <c r="AR341" s="365">
        <v>24</v>
      </c>
      <c r="AS341" s="127">
        <v>5.1749999999999998</v>
      </c>
    </row>
    <row r="342" spans="11:45" x14ac:dyDescent="0.25">
      <c r="K342" s="125"/>
      <c r="L342" s="166"/>
      <c r="M342" s="166"/>
      <c r="N342" s="166"/>
      <c r="O342" s="166"/>
      <c r="P342" s="154">
        <f t="shared" si="24"/>
        <v>5.2289999999999992</v>
      </c>
      <c r="Q342" s="123" t="s">
        <v>94</v>
      </c>
      <c r="R342" s="367">
        <v>80.3</v>
      </c>
      <c r="S342" s="365">
        <v>24</v>
      </c>
      <c r="T342" s="127">
        <v>5.3452000000000002</v>
      </c>
      <c r="U342" s="126">
        <f t="shared" si="25"/>
        <v>5.1749999999999998</v>
      </c>
      <c r="V342" s="59" t="s">
        <v>180</v>
      </c>
      <c r="W342" s="367">
        <v>103</v>
      </c>
      <c r="X342" s="365">
        <v>24</v>
      </c>
      <c r="Y342" s="127">
        <v>5.2289999999999992</v>
      </c>
      <c r="Z342" s="126">
        <f t="shared" si="26"/>
        <v>5.1749999999999998</v>
      </c>
      <c r="AA342" s="59" t="s">
        <v>180</v>
      </c>
      <c r="AB342" s="367">
        <v>103</v>
      </c>
      <c r="AC342" s="365">
        <v>24</v>
      </c>
      <c r="AD342" s="127">
        <v>5.2289999999999992</v>
      </c>
      <c r="AE342" s="122">
        <f t="shared" si="27"/>
        <v>5.1749999999999998</v>
      </c>
      <c r="AF342" s="59" t="s">
        <v>180</v>
      </c>
      <c r="AG342" s="367">
        <v>103</v>
      </c>
      <c r="AH342" s="365">
        <v>24</v>
      </c>
      <c r="AI342" s="127">
        <v>5.2289999999999992</v>
      </c>
      <c r="AJ342" s="126">
        <f t="shared" si="28"/>
        <v>5.1749999999999998</v>
      </c>
      <c r="AK342" s="59" t="s">
        <v>180</v>
      </c>
      <c r="AL342" s="367">
        <v>103</v>
      </c>
      <c r="AM342" s="365">
        <v>24</v>
      </c>
      <c r="AN342" s="127">
        <v>5.2289999999999992</v>
      </c>
      <c r="AO342" s="126">
        <f t="shared" si="29"/>
        <v>5.1749999999999998</v>
      </c>
      <c r="AP342" s="59" t="s">
        <v>180</v>
      </c>
      <c r="AQ342" s="367">
        <v>103</v>
      </c>
      <c r="AR342" s="365">
        <v>24</v>
      </c>
      <c r="AS342" s="127">
        <v>5.2289999999999992</v>
      </c>
    </row>
    <row r="343" spans="11:45" x14ac:dyDescent="0.25">
      <c r="K343" s="125"/>
      <c r="L343" s="166"/>
      <c r="M343" s="166"/>
      <c r="N343" s="166"/>
      <c r="O343" s="166"/>
      <c r="P343" s="154">
        <f t="shared" si="24"/>
        <v>5.3452000000000002</v>
      </c>
      <c r="Q343" s="123" t="s">
        <v>139</v>
      </c>
      <c r="R343" s="366">
        <v>98.5</v>
      </c>
      <c r="S343" s="365">
        <v>24</v>
      </c>
      <c r="T343" s="127">
        <v>5.3602999999999996</v>
      </c>
      <c r="U343" s="126">
        <f t="shared" si="25"/>
        <v>5.2289999999999992</v>
      </c>
      <c r="V343" s="123" t="s">
        <v>219</v>
      </c>
      <c r="W343" s="367">
        <v>68.400000000000006</v>
      </c>
      <c r="X343" s="365">
        <v>30</v>
      </c>
      <c r="Y343" s="127">
        <v>5.3077499999999995</v>
      </c>
      <c r="Z343" s="126">
        <f t="shared" si="26"/>
        <v>5.2289999999999992</v>
      </c>
      <c r="AA343" s="123" t="s">
        <v>219</v>
      </c>
      <c r="AB343" s="367">
        <v>68.400000000000006</v>
      </c>
      <c r="AC343" s="365">
        <v>30</v>
      </c>
      <c r="AD343" s="127">
        <v>5.3077499999999995</v>
      </c>
      <c r="AE343" s="122">
        <f t="shared" si="27"/>
        <v>5.2289999999999992</v>
      </c>
      <c r="AF343" s="123" t="s">
        <v>219</v>
      </c>
      <c r="AG343" s="367">
        <v>68.400000000000006</v>
      </c>
      <c r="AH343" s="365">
        <v>30</v>
      </c>
      <c r="AI343" s="127">
        <v>5.3077499999999995</v>
      </c>
      <c r="AJ343" s="126">
        <f t="shared" si="28"/>
        <v>5.2289999999999992</v>
      </c>
      <c r="AK343" s="123" t="s">
        <v>219</v>
      </c>
      <c r="AL343" s="367">
        <v>68.400000000000006</v>
      </c>
      <c r="AM343" s="365">
        <v>30</v>
      </c>
      <c r="AN343" s="127">
        <v>5.3077499999999995</v>
      </c>
      <c r="AO343" s="126">
        <f t="shared" si="29"/>
        <v>5.2289999999999992</v>
      </c>
      <c r="AP343" s="123" t="s">
        <v>219</v>
      </c>
      <c r="AQ343" s="367">
        <v>68.400000000000006</v>
      </c>
      <c r="AR343" s="365">
        <v>30</v>
      </c>
      <c r="AS343" s="127">
        <v>5.3077499999999995</v>
      </c>
    </row>
    <row r="344" spans="11:45" x14ac:dyDescent="0.25">
      <c r="K344" s="125"/>
      <c r="L344" s="166"/>
      <c r="M344" s="166"/>
      <c r="N344" s="166"/>
      <c r="O344" s="166"/>
      <c r="P344" s="154">
        <f t="shared" si="24"/>
        <v>5.3602999999999996</v>
      </c>
      <c r="Q344" s="123" t="s">
        <v>91</v>
      </c>
      <c r="R344" s="367">
        <v>79.099999999999994</v>
      </c>
      <c r="S344" s="365">
        <v>24</v>
      </c>
      <c r="T344" s="127">
        <v>5.6186500000000006</v>
      </c>
      <c r="U344" s="126">
        <f t="shared" si="25"/>
        <v>5.3077499999999995</v>
      </c>
      <c r="V344" s="123" t="s">
        <v>94</v>
      </c>
      <c r="W344" s="367">
        <v>80.3</v>
      </c>
      <c r="X344" s="365">
        <v>24</v>
      </c>
      <c r="Y344" s="127">
        <v>5.3452000000000002</v>
      </c>
      <c r="Z344" s="126">
        <f t="shared" si="26"/>
        <v>5.3077499999999995</v>
      </c>
      <c r="AA344" s="123" t="s">
        <v>94</v>
      </c>
      <c r="AB344" s="367">
        <v>80.3</v>
      </c>
      <c r="AC344" s="365">
        <v>24</v>
      </c>
      <c r="AD344" s="127">
        <v>5.3452000000000002</v>
      </c>
      <c r="AE344" s="122">
        <f t="shared" si="27"/>
        <v>5.3077499999999995</v>
      </c>
      <c r="AF344" s="123" t="s">
        <v>94</v>
      </c>
      <c r="AG344" s="367">
        <v>80.3</v>
      </c>
      <c r="AH344" s="365">
        <v>24</v>
      </c>
      <c r="AI344" s="127">
        <v>5.3452000000000002</v>
      </c>
      <c r="AJ344" s="126">
        <f t="shared" si="28"/>
        <v>5.3077499999999995</v>
      </c>
      <c r="AK344" s="123" t="s">
        <v>94</v>
      </c>
      <c r="AL344" s="367">
        <v>80.3</v>
      </c>
      <c r="AM344" s="365">
        <v>24</v>
      </c>
      <c r="AN344" s="127">
        <v>5.3452000000000002</v>
      </c>
      <c r="AO344" s="126">
        <f t="shared" si="29"/>
        <v>5.3077499999999995</v>
      </c>
      <c r="AP344" s="123" t="s">
        <v>94</v>
      </c>
      <c r="AQ344" s="367">
        <v>80.3</v>
      </c>
      <c r="AR344" s="365">
        <v>24</v>
      </c>
      <c r="AS344" s="127">
        <v>5.3452000000000002</v>
      </c>
    </row>
    <row r="345" spans="11:45" x14ac:dyDescent="0.25">
      <c r="K345" s="125"/>
      <c r="L345" s="166"/>
      <c r="M345" s="166"/>
      <c r="N345" s="166"/>
      <c r="O345" s="166"/>
      <c r="P345" s="154">
        <f t="shared" si="24"/>
        <v>5.6186500000000006</v>
      </c>
      <c r="Q345" s="123" t="s">
        <v>157</v>
      </c>
      <c r="R345" s="368">
        <v>118</v>
      </c>
      <c r="S345" s="365">
        <v>24</v>
      </c>
      <c r="T345" s="127">
        <v>5.6186500000000006</v>
      </c>
      <c r="U345" s="126">
        <f t="shared" si="25"/>
        <v>5.3452000000000002</v>
      </c>
      <c r="V345" s="123" t="s">
        <v>139</v>
      </c>
      <c r="W345" s="366">
        <v>98.5</v>
      </c>
      <c r="X345" s="365">
        <v>24</v>
      </c>
      <c r="Y345" s="127">
        <v>5.3602999999999996</v>
      </c>
      <c r="Z345" s="126">
        <f t="shared" si="26"/>
        <v>5.3452000000000002</v>
      </c>
      <c r="AA345" s="123" t="s">
        <v>139</v>
      </c>
      <c r="AB345" s="366">
        <v>98.5</v>
      </c>
      <c r="AC345" s="365">
        <v>24</v>
      </c>
      <c r="AD345" s="127">
        <v>5.3602999999999996</v>
      </c>
      <c r="AE345" s="122">
        <f t="shared" si="27"/>
        <v>5.3452000000000002</v>
      </c>
      <c r="AF345" s="123" t="s">
        <v>139</v>
      </c>
      <c r="AG345" s="366">
        <v>98.5</v>
      </c>
      <c r="AH345" s="365">
        <v>24</v>
      </c>
      <c r="AI345" s="127">
        <v>5.3602999999999996</v>
      </c>
      <c r="AJ345" s="126">
        <f t="shared" si="28"/>
        <v>5.3452000000000002</v>
      </c>
      <c r="AK345" s="123" t="s">
        <v>139</v>
      </c>
      <c r="AL345" s="366">
        <v>98.5</v>
      </c>
      <c r="AM345" s="365">
        <v>24</v>
      </c>
      <c r="AN345" s="127">
        <v>5.3602999999999996</v>
      </c>
      <c r="AO345" s="126">
        <f t="shared" si="29"/>
        <v>5.3452000000000002</v>
      </c>
      <c r="AP345" s="123" t="s">
        <v>139</v>
      </c>
      <c r="AQ345" s="366">
        <v>98.5</v>
      </c>
      <c r="AR345" s="365">
        <v>24</v>
      </c>
      <c r="AS345" s="127">
        <v>5.3602999999999996</v>
      </c>
    </row>
    <row r="346" spans="11:45" x14ac:dyDescent="0.25">
      <c r="K346" s="125"/>
      <c r="L346" s="166"/>
      <c r="M346" s="166"/>
      <c r="N346" s="166"/>
      <c r="O346" s="166"/>
      <c r="P346" s="154">
        <f t="shared" si="24"/>
        <v>5.6186500000000006</v>
      </c>
      <c r="Q346" s="59" t="s">
        <v>181</v>
      </c>
      <c r="R346" s="367">
        <v>112</v>
      </c>
      <c r="S346" s="365">
        <v>24</v>
      </c>
      <c r="T346" s="127">
        <v>5.67</v>
      </c>
      <c r="U346" s="154">
        <f t="shared" si="25"/>
        <v>5.3602999999999996</v>
      </c>
      <c r="V346" s="59" t="s">
        <v>183</v>
      </c>
      <c r="W346" s="367">
        <v>143</v>
      </c>
      <c r="X346" s="365">
        <v>30</v>
      </c>
      <c r="Y346" s="127">
        <v>5.5439999999999996</v>
      </c>
      <c r="Z346" s="126">
        <f t="shared" si="26"/>
        <v>5.3602999999999996</v>
      </c>
      <c r="AA346" s="59" t="s">
        <v>183</v>
      </c>
      <c r="AB346" s="367">
        <v>143</v>
      </c>
      <c r="AC346" s="365">
        <v>30</v>
      </c>
      <c r="AD346" s="127">
        <v>5.5439999999999996</v>
      </c>
      <c r="AE346" s="122">
        <f t="shared" si="27"/>
        <v>5.3602999999999996</v>
      </c>
      <c r="AF346" s="59" t="s">
        <v>183</v>
      </c>
      <c r="AG346" s="367">
        <v>143</v>
      </c>
      <c r="AH346" s="365">
        <v>30</v>
      </c>
      <c r="AI346" s="127">
        <v>5.5439999999999996</v>
      </c>
      <c r="AJ346" s="126">
        <f t="shared" si="28"/>
        <v>5.3602999999999996</v>
      </c>
      <c r="AK346" s="59" t="s">
        <v>183</v>
      </c>
      <c r="AL346" s="367">
        <v>143</v>
      </c>
      <c r="AM346" s="365">
        <v>30</v>
      </c>
      <c r="AN346" s="127">
        <v>5.5439999999999996</v>
      </c>
      <c r="AO346" s="126">
        <f t="shared" si="29"/>
        <v>5.3602999999999996</v>
      </c>
      <c r="AP346" s="59" t="s">
        <v>183</v>
      </c>
      <c r="AQ346" s="367">
        <v>143</v>
      </c>
      <c r="AR346" s="365">
        <v>30</v>
      </c>
      <c r="AS346" s="127">
        <v>5.5439999999999996</v>
      </c>
    </row>
    <row r="347" spans="11:45" x14ac:dyDescent="0.25">
      <c r="K347" s="125"/>
      <c r="L347" s="166"/>
      <c r="M347" s="166"/>
      <c r="N347" s="166"/>
      <c r="O347" s="166"/>
      <c r="P347" s="154">
        <f t="shared" si="24"/>
        <v>5.67</v>
      </c>
      <c r="Q347" s="123" t="s">
        <v>212</v>
      </c>
      <c r="R347" s="367">
        <v>81</v>
      </c>
      <c r="S347" s="365">
        <v>24</v>
      </c>
      <c r="T347" s="127">
        <v>5.7000000000000011</v>
      </c>
      <c r="U347" s="126">
        <f t="shared" si="25"/>
        <v>5.5439999999999996</v>
      </c>
      <c r="V347" s="123" t="s">
        <v>91</v>
      </c>
      <c r="W347" s="367">
        <v>79.099999999999994</v>
      </c>
      <c r="X347" s="365">
        <v>24</v>
      </c>
      <c r="Y347" s="127">
        <v>5.6186500000000006</v>
      </c>
      <c r="Z347" s="126">
        <f t="shared" si="26"/>
        <v>5.5439999999999996</v>
      </c>
      <c r="AA347" s="123" t="s">
        <v>91</v>
      </c>
      <c r="AB347" s="367">
        <v>79.099999999999994</v>
      </c>
      <c r="AC347" s="365">
        <v>24</v>
      </c>
      <c r="AD347" s="127">
        <v>5.6186500000000006</v>
      </c>
      <c r="AE347" s="122">
        <f t="shared" si="27"/>
        <v>5.5439999999999996</v>
      </c>
      <c r="AF347" s="123" t="s">
        <v>91</v>
      </c>
      <c r="AG347" s="367">
        <v>79.099999999999994</v>
      </c>
      <c r="AH347" s="365">
        <v>24</v>
      </c>
      <c r="AI347" s="127">
        <v>5.6186500000000006</v>
      </c>
      <c r="AJ347" s="126">
        <f t="shared" si="28"/>
        <v>5.5439999999999996</v>
      </c>
      <c r="AK347" s="123" t="s">
        <v>91</v>
      </c>
      <c r="AL347" s="367">
        <v>79.099999999999994</v>
      </c>
      <c r="AM347" s="365">
        <v>24</v>
      </c>
      <c r="AN347" s="127">
        <v>5.6186500000000006</v>
      </c>
      <c r="AO347" s="126">
        <f t="shared" si="29"/>
        <v>5.5439999999999996</v>
      </c>
      <c r="AP347" s="123" t="s">
        <v>91</v>
      </c>
      <c r="AQ347" s="367">
        <v>79.099999999999994</v>
      </c>
      <c r="AR347" s="365">
        <v>24</v>
      </c>
      <c r="AS347" s="127">
        <v>5.6186500000000006</v>
      </c>
    </row>
    <row r="348" spans="11:45" x14ac:dyDescent="0.25">
      <c r="K348" s="125"/>
      <c r="L348" s="166"/>
      <c r="M348" s="166"/>
      <c r="N348" s="166"/>
      <c r="O348" s="166"/>
      <c r="P348" s="154">
        <f t="shared" si="24"/>
        <v>5.7000000000000011</v>
      </c>
      <c r="Q348" s="123" t="s">
        <v>158</v>
      </c>
      <c r="R348" s="368">
        <v>131</v>
      </c>
      <c r="S348" s="365">
        <v>24</v>
      </c>
      <c r="T348" s="127">
        <v>6.0005000000000006</v>
      </c>
      <c r="U348" s="154">
        <f t="shared" si="25"/>
        <v>5.6186500000000006</v>
      </c>
      <c r="V348" s="123" t="s">
        <v>157</v>
      </c>
      <c r="W348" s="368">
        <v>118</v>
      </c>
      <c r="X348" s="365">
        <v>24</v>
      </c>
      <c r="Y348" s="127">
        <v>5.6186500000000006</v>
      </c>
      <c r="Z348" s="126">
        <f t="shared" si="26"/>
        <v>5.6186500000000006</v>
      </c>
      <c r="AA348" s="123" t="s">
        <v>157</v>
      </c>
      <c r="AB348" s="368">
        <v>118</v>
      </c>
      <c r="AC348" s="365">
        <v>24</v>
      </c>
      <c r="AD348" s="127">
        <v>5.6186500000000006</v>
      </c>
      <c r="AE348" s="122">
        <f t="shared" si="27"/>
        <v>5.6186500000000006</v>
      </c>
      <c r="AF348" s="123" t="s">
        <v>157</v>
      </c>
      <c r="AG348" s="368">
        <v>118</v>
      </c>
      <c r="AH348" s="365">
        <v>24</v>
      </c>
      <c r="AI348" s="127">
        <v>5.6186500000000006</v>
      </c>
      <c r="AJ348" s="126">
        <f t="shared" si="28"/>
        <v>5.6186500000000006</v>
      </c>
      <c r="AK348" s="123" t="s">
        <v>157</v>
      </c>
      <c r="AL348" s="368">
        <v>118</v>
      </c>
      <c r="AM348" s="365">
        <v>24</v>
      </c>
      <c r="AN348" s="127">
        <v>5.6186500000000006</v>
      </c>
      <c r="AO348" s="126">
        <f t="shared" si="29"/>
        <v>5.6186500000000006</v>
      </c>
      <c r="AP348" s="123" t="s">
        <v>157</v>
      </c>
      <c r="AQ348" s="368">
        <v>118</v>
      </c>
      <c r="AR348" s="365">
        <v>24</v>
      </c>
      <c r="AS348" s="127">
        <v>5.6186500000000006</v>
      </c>
    </row>
    <row r="349" spans="11:45" x14ac:dyDescent="0.25">
      <c r="K349" s="161"/>
      <c r="L349" s="166"/>
      <c r="M349" s="166"/>
      <c r="N349" s="166"/>
      <c r="O349" s="166"/>
      <c r="P349" s="154">
        <f t="shared" si="24"/>
        <v>6.0005000000000006</v>
      </c>
      <c r="Q349" s="123" t="s">
        <v>140</v>
      </c>
      <c r="R349" s="368">
        <v>112</v>
      </c>
      <c r="S349" s="365">
        <v>24</v>
      </c>
      <c r="T349" s="127">
        <v>6.0247999999999999</v>
      </c>
      <c r="U349" s="154">
        <f t="shared" si="25"/>
        <v>5.6186500000000006</v>
      </c>
      <c r="V349" s="59" t="s">
        <v>181</v>
      </c>
      <c r="W349" s="367">
        <v>112</v>
      </c>
      <c r="X349" s="365">
        <v>24</v>
      </c>
      <c r="Y349" s="127">
        <v>5.67</v>
      </c>
      <c r="Z349" s="126">
        <f t="shared" si="26"/>
        <v>5.6186500000000006</v>
      </c>
      <c r="AA349" s="59" t="s">
        <v>181</v>
      </c>
      <c r="AB349" s="367">
        <v>112</v>
      </c>
      <c r="AC349" s="365">
        <v>24</v>
      </c>
      <c r="AD349" s="127">
        <v>5.67</v>
      </c>
      <c r="AE349" s="122">
        <f t="shared" si="27"/>
        <v>5.6186500000000006</v>
      </c>
      <c r="AF349" s="59" t="s">
        <v>181</v>
      </c>
      <c r="AG349" s="367">
        <v>112</v>
      </c>
      <c r="AH349" s="365">
        <v>24</v>
      </c>
      <c r="AI349" s="127">
        <v>5.67</v>
      </c>
      <c r="AJ349" s="126">
        <f t="shared" si="28"/>
        <v>5.6186500000000006</v>
      </c>
      <c r="AK349" s="59" t="s">
        <v>181</v>
      </c>
      <c r="AL349" s="367">
        <v>112</v>
      </c>
      <c r="AM349" s="365">
        <v>24</v>
      </c>
      <c r="AN349" s="127">
        <v>5.67</v>
      </c>
      <c r="AO349" s="126">
        <f t="shared" si="29"/>
        <v>5.6186500000000006</v>
      </c>
      <c r="AP349" s="59" t="s">
        <v>181</v>
      </c>
      <c r="AQ349" s="367">
        <v>112</v>
      </c>
      <c r="AR349" s="365">
        <v>24</v>
      </c>
      <c r="AS349" s="127">
        <v>5.67</v>
      </c>
    </row>
    <row r="350" spans="11:45" x14ac:dyDescent="0.25">
      <c r="K350" s="125"/>
      <c r="L350" s="166"/>
      <c r="M350" s="166"/>
      <c r="N350" s="166"/>
      <c r="O350" s="166"/>
      <c r="P350" s="154">
        <f t="shared" si="24"/>
        <v>6.0247999999999999</v>
      </c>
      <c r="Q350" s="59" t="s">
        <v>182</v>
      </c>
      <c r="R350" s="367">
        <v>123</v>
      </c>
      <c r="S350" s="365">
        <v>24</v>
      </c>
      <c r="T350" s="127">
        <v>6.426000000000001</v>
      </c>
      <c r="U350" s="126">
        <f t="shared" si="25"/>
        <v>5.67</v>
      </c>
      <c r="V350" s="123" t="s">
        <v>212</v>
      </c>
      <c r="W350" s="367">
        <v>81</v>
      </c>
      <c r="X350" s="365">
        <v>24</v>
      </c>
      <c r="Y350" s="127">
        <v>5.7000000000000011</v>
      </c>
      <c r="Z350" s="126">
        <f t="shared" si="26"/>
        <v>5.67</v>
      </c>
      <c r="AA350" s="123" t="s">
        <v>212</v>
      </c>
      <c r="AB350" s="367">
        <v>81</v>
      </c>
      <c r="AC350" s="365">
        <v>24</v>
      </c>
      <c r="AD350" s="127">
        <v>5.7000000000000011</v>
      </c>
      <c r="AE350" s="122">
        <f t="shared" si="27"/>
        <v>5.67</v>
      </c>
      <c r="AF350" s="123" t="s">
        <v>212</v>
      </c>
      <c r="AG350" s="367">
        <v>81</v>
      </c>
      <c r="AH350" s="365">
        <v>24</v>
      </c>
      <c r="AI350" s="127">
        <v>5.7000000000000011</v>
      </c>
      <c r="AJ350" s="126">
        <f t="shared" si="28"/>
        <v>5.67</v>
      </c>
      <c r="AK350" s="123" t="s">
        <v>212</v>
      </c>
      <c r="AL350" s="367">
        <v>81</v>
      </c>
      <c r="AM350" s="365">
        <v>24</v>
      </c>
      <c r="AN350" s="127">
        <v>5.7000000000000011</v>
      </c>
      <c r="AO350" s="126">
        <f t="shared" si="29"/>
        <v>5.67</v>
      </c>
      <c r="AP350" s="123" t="s">
        <v>212</v>
      </c>
      <c r="AQ350" s="367">
        <v>81</v>
      </c>
      <c r="AR350" s="365">
        <v>24</v>
      </c>
      <c r="AS350" s="127">
        <v>5.7000000000000011</v>
      </c>
    </row>
    <row r="351" spans="11:45" x14ac:dyDescent="0.25">
      <c r="K351" s="161"/>
      <c r="L351" s="166"/>
      <c r="M351" s="166"/>
      <c r="N351" s="166"/>
      <c r="O351" s="166"/>
      <c r="P351" s="154">
        <f t="shared" si="24"/>
        <v>6.426000000000001</v>
      </c>
      <c r="Q351" s="123" t="s">
        <v>213</v>
      </c>
      <c r="R351" s="367">
        <v>92.2</v>
      </c>
      <c r="S351" s="365">
        <v>24</v>
      </c>
      <c r="T351" s="127">
        <v>6.45</v>
      </c>
      <c r="U351" s="154">
        <f t="shared" si="25"/>
        <v>5.7000000000000011</v>
      </c>
      <c r="V351" s="59" t="s">
        <v>214</v>
      </c>
      <c r="W351" s="367">
        <v>117</v>
      </c>
      <c r="X351" s="365">
        <v>30</v>
      </c>
      <c r="Y351" s="127">
        <v>5.9249999999999998</v>
      </c>
      <c r="Z351" s="126">
        <f t="shared" si="26"/>
        <v>5.7000000000000011</v>
      </c>
      <c r="AA351" s="59" t="s">
        <v>214</v>
      </c>
      <c r="AB351" s="367">
        <v>117</v>
      </c>
      <c r="AC351" s="365">
        <v>30</v>
      </c>
      <c r="AD351" s="127">
        <v>5.9249999999999998</v>
      </c>
      <c r="AE351" s="122">
        <f t="shared" si="27"/>
        <v>5.7000000000000011</v>
      </c>
      <c r="AF351" s="59" t="s">
        <v>214</v>
      </c>
      <c r="AG351" s="367">
        <v>117</v>
      </c>
      <c r="AH351" s="365">
        <v>30</v>
      </c>
      <c r="AI351" s="127">
        <v>5.9249999999999998</v>
      </c>
      <c r="AJ351" s="126">
        <f t="shared" si="28"/>
        <v>5.7000000000000011</v>
      </c>
      <c r="AK351" s="59" t="s">
        <v>214</v>
      </c>
      <c r="AL351" s="367">
        <v>117</v>
      </c>
      <c r="AM351" s="365">
        <v>30</v>
      </c>
      <c r="AN351" s="127">
        <v>5.9249999999999998</v>
      </c>
      <c r="AO351" s="126">
        <f t="shared" si="29"/>
        <v>5.7000000000000011</v>
      </c>
      <c r="AP351" s="59" t="s">
        <v>214</v>
      </c>
      <c r="AQ351" s="367">
        <v>117</v>
      </c>
      <c r="AR351" s="365">
        <v>30</v>
      </c>
      <c r="AS351" s="127">
        <v>5.9249999999999998</v>
      </c>
    </row>
    <row r="352" spans="11:45" x14ac:dyDescent="0.25">
      <c r="K352" s="125"/>
      <c r="L352" s="166"/>
      <c r="M352" s="166"/>
      <c r="N352" s="166"/>
      <c r="O352" s="166"/>
      <c r="P352" s="154">
        <f t="shared" si="24"/>
        <v>6.45</v>
      </c>
      <c r="Q352" s="123" t="s">
        <v>92</v>
      </c>
      <c r="R352" s="367">
        <v>93.8</v>
      </c>
      <c r="S352" s="365">
        <v>24</v>
      </c>
      <c r="T352" s="127">
        <v>6.6005500000000001</v>
      </c>
      <c r="U352" s="126">
        <f t="shared" si="25"/>
        <v>5.9249999999999998</v>
      </c>
      <c r="V352" s="123" t="s">
        <v>221</v>
      </c>
      <c r="W352" s="367">
        <v>88.9</v>
      </c>
      <c r="X352" s="365">
        <v>30</v>
      </c>
      <c r="Y352" s="127">
        <v>5.981749999999999</v>
      </c>
      <c r="Z352" s="126">
        <f t="shared" si="26"/>
        <v>5.9249999999999998</v>
      </c>
      <c r="AA352" s="123" t="s">
        <v>221</v>
      </c>
      <c r="AB352" s="367">
        <v>88.9</v>
      </c>
      <c r="AC352" s="365">
        <v>30</v>
      </c>
      <c r="AD352" s="127">
        <v>5.981749999999999</v>
      </c>
      <c r="AE352" s="122">
        <f t="shared" si="27"/>
        <v>5.9249999999999998</v>
      </c>
      <c r="AF352" s="123" t="s">
        <v>221</v>
      </c>
      <c r="AG352" s="367">
        <v>88.9</v>
      </c>
      <c r="AH352" s="365">
        <v>30</v>
      </c>
      <c r="AI352" s="127">
        <v>5.981749999999999</v>
      </c>
      <c r="AJ352" s="126">
        <f t="shared" si="28"/>
        <v>5.9249999999999998</v>
      </c>
      <c r="AK352" s="123" t="s">
        <v>221</v>
      </c>
      <c r="AL352" s="367">
        <v>88.9</v>
      </c>
      <c r="AM352" s="365">
        <v>30</v>
      </c>
      <c r="AN352" s="127">
        <v>5.981749999999999</v>
      </c>
      <c r="AO352" s="126">
        <f t="shared" si="29"/>
        <v>5.9249999999999998</v>
      </c>
      <c r="AP352" s="123" t="s">
        <v>221</v>
      </c>
      <c r="AQ352" s="367">
        <v>88.9</v>
      </c>
      <c r="AR352" s="365">
        <v>30</v>
      </c>
      <c r="AS352" s="127">
        <v>5.981749999999999</v>
      </c>
    </row>
    <row r="353" spans="11:45" x14ac:dyDescent="0.25">
      <c r="K353" s="125"/>
      <c r="L353" s="166"/>
      <c r="M353" s="166"/>
      <c r="N353" s="166"/>
      <c r="O353" s="166"/>
      <c r="P353" s="154">
        <f t="shared" si="24"/>
        <v>6.6005500000000001</v>
      </c>
      <c r="Q353" s="123" t="s">
        <v>159</v>
      </c>
      <c r="R353" s="368">
        <v>145</v>
      </c>
      <c r="S353" s="365">
        <v>24</v>
      </c>
      <c r="T353" s="127">
        <v>6.6551</v>
      </c>
      <c r="U353" s="154">
        <f t="shared" si="25"/>
        <v>5.981749999999999</v>
      </c>
      <c r="V353" s="123" t="s">
        <v>158</v>
      </c>
      <c r="W353" s="368">
        <v>131</v>
      </c>
      <c r="X353" s="365">
        <v>24</v>
      </c>
      <c r="Y353" s="127">
        <v>6.0005000000000006</v>
      </c>
      <c r="Z353" s="126">
        <f t="shared" si="26"/>
        <v>5.981749999999999</v>
      </c>
      <c r="AA353" s="123" t="s">
        <v>158</v>
      </c>
      <c r="AB353" s="368">
        <v>131</v>
      </c>
      <c r="AC353" s="365">
        <v>24</v>
      </c>
      <c r="AD353" s="127">
        <v>6.0005000000000006</v>
      </c>
      <c r="AE353" s="122">
        <f t="shared" si="27"/>
        <v>5.981749999999999</v>
      </c>
      <c r="AF353" s="123" t="s">
        <v>158</v>
      </c>
      <c r="AG353" s="368">
        <v>131</v>
      </c>
      <c r="AH353" s="365">
        <v>24</v>
      </c>
      <c r="AI353" s="127">
        <v>6.0005000000000006</v>
      </c>
      <c r="AJ353" s="126">
        <f t="shared" si="28"/>
        <v>5.981749999999999</v>
      </c>
      <c r="AK353" s="59" t="s">
        <v>99</v>
      </c>
      <c r="AL353" s="367">
        <v>131</v>
      </c>
      <c r="AM353" s="365">
        <v>30</v>
      </c>
      <c r="AN353" s="127">
        <v>6.0005000000000006</v>
      </c>
      <c r="AO353" s="126">
        <f t="shared" si="29"/>
        <v>5.981749999999999</v>
      </c>
      <c r="AP353" s="59" t="s">
        <v>99</v>
      </c>
      <c r="AQ353" s="367">
        <v>131</v>
      </c>
      <c r="AR353" s="365">
        <v>30</v>
      </c>
      <c r="AS353" s="127">
        <v>6.0005000000000006</v>
      </c>
    </row>
    <row r="354" spans="11:45" x14ac:dyDescent="0.25">
      <c r="K354" s="125"/>
      <c r="L354" s="166"/>
      <c r="M354" s="166"/>
      <c r="N354" s="166"/>
      <c r="O354" s="166"/>
      <c r="P354" s="154">
        <f t="shared" si="24"/>
        <v>6.6551</v>
      </c>
      <c r="Q354" s="123" t="s">
        <v>141</v>
      </c>
      <c r="R354" s="368">
        <v>126</v>
      </c>
      <c r="S354" s="365">
        <v>24</v>
      </c>
      <c r="T354" s="127">
        <v>6.6892999999999994</v>
      </c>
      <c r="U354" s="154">
        <f t="shared" si="25"/>
        <v>6.0005000000000006</v>
      </c>
      <c r="V354" s="123" t="s">
        <v>140</v>
      </c>
      <c r="W354" s="368">
        <v>112</v>
      </c>
      <c r="X354" s="365">
        <v>24</v>
      </c>
      <c r="Y354" s="127">
        <v>6.0247999999999999</v>
      </c>
      <c r="Z354" s="126">
        <f t="shared" si="26"/>
        <v>6.0005000000000006</v>
      </c>
      <c r="AA354" s="123" t="s">
        <v>140</v>
      </c>
      <c r="AB354" s="368">
        <v>112</v>
      </c>
      <c r="AC354" s="365">
        <v>24</v>
      </c>
      <c r="AD354" s="127">
        <v>6.0247999999999999</v>
      </c>
      <c r="AE354" s="122">
        <f t="shared" si="27"/>
        <v>6.0005000000000006</v>
      </c>
      <c r="AF354" s="123" t="s">
        <v>140</v>
      </c>
      <c r="AG354" s="368">
        <v>112</v>
      </c>
      <c r="AH354" s="365">
        <v>24</v>
      </c>
      <c r="AI354" s="127">
        <v>6.0247999999999999</v>
      </c>
      <c r="AJ354" s="126">
        <f t="shared" si="28"/>
        <v>6.0005000000000006</v>
      </c>
      <c r="AK354" s="123" t="s">
        <v>140</v>
      </c>
      <c r="AL354" s="368">
        <v>112</v>
      </c>
      <c r="AM354" s="365">
        <v>24</v>
      </c>
      <c r="AN354" s="127">
        <v>6.0247999999999999</v>
      </c>
      <c r="AO354" s="126">
        <f t="shared" si="29"/>
        <v>6.0005000000000006</v>
      </c>
      <c r="AP354" s="123" t="s">
        <v>140</v>
      </c>
      <c r="AQ354" s="368">
        <v>112</v>
      </c>
      <c r="AR354" s="365">
        <v>24</v>
      </c>
      <c r="AS354" s="127">
        <v>6.0247999999999999</v>
      </c>
    </row>
    <row r="355" spans="11:45" x14ac:dyDescent="0.25">
      <c r="K355" s="125"/>
      <c r="L355" s="166"/>
      <c r="M355" s="166"/>
      <c r="N355" s="166"/>
      <c r="O355" s="166"/>
      <c r="P355" s="154">
        <f t="shared" si="24"/>
        <v>6.6892999999999994</v>
      </c>
      <c r="Q355" s="59" t="s">
        <v>93</v>
      </c>
      <c r="R355" s="367">
        <v>106</v>
      </c>
      <c r="S355" s="365">
        <v>24</v>
      </c>
      <c r="T355" s="127">
        <v>7.4733500000000008</v>
      </c>
      <c r="U355" s="126">
        <f t="shared" si="25"/>
        <v>6.0247999999999999</v>
      </c>
      <c r="V355" s="123" t="s">
        <v>220</v>
      </c>
      <c r="W355" s="367">
        <v>78.8</v>
      </c>
      <c r="X355" s="365">
        <v>30</v>
      </c>
      <c r="Y355" s="127">
        <v>6.0659999999999989</v>
      </c>
      <c r="Z355" s="126">
        <f t="shared" si="26"/>
        <v>6.0247999999999999</v>
      </c>
      <c r="AA355" s="123" t="s">
        <v>220</v>
      </c>
      <c r="AB355" s="367">
        <v>78.8</v>
      </c>
      <c r="AC355" s="365">
        <v>30</v>
      </c>
      <c r="AD355" s="127">
        <v>6.0659999999999989</v>
      </c>
      <c r="AE355" s="122">
        <f t="shared" si="27"/>
        <v>6.0247999999999999</v>
      </c>
      <c r="AF355" s="123" t="s">
        <v>220</v>
      </c>
      <c r="AG355" s="367">
        <v>78.8</v>
      </c>
      <c r="AH355" s="365">
        <v>30</v>
      </c>
      <c r="AI355" s="127">
        <v>6.0659999999999989</v>
      </c>
      <c r="AJ355" s="126">
        <f t="shared" si="28"/>
        <v>6.0247999999999999</v>
      </c>
      <c r="AK355" s="123" t="s">
        <v>220</v>
      </c>
      <c r="AL355" s="367">
        <v>78.8</v>
      </c>
      <c r="AM355" s="365">
        <v>30</v>
      </c>
      <c r="AN355" s="127">
        <v>6.0659999999999989</v>
      </c>
      <c r="AO355" s="126">
        <f t="shared" si="29"/>
        <v>6.0247999999999999</v>
      </c>
      <c r="AP355" s="123" t="s">
        <v>220</v>
      </c>
      <c r="AQ355" s="367">
        <v>78.8</v>
      </c>
      <c r="AR355" s="365">
        <v>30</v>
      </c>
      <c r="AS355" s="127">
        <v>6.0659999999999989</v>
      </c>
    </row>
    <row r="356" spans="11:45" ht="15.75" thickBot="1" x14ac:dyDescent="0.3">
      <c r="K356" s="161"/>
      <c r="L356" s="166"/>
      <c r="M356" s="166"/>
      <c r="N356" s="166"/>
      <c r="O356" s="166"/>
      <c r="P356" s="154">
        <f t="shared" si="24"/>
        <v>7.4733500000000008</v>
      </c>
      <c r="Q356" s="148" t="s">
        <v>160</v>
      </c>
      <c r="R356" s="375">
        <v>163</v>
      </c>
      <c r="S356" s="369">
        <v>24</v>
      </c>
      <c r="T356" s="203">
        <v>7.7460999999999993</v>
      </c>
      <c r="U356" s="154">
        <f t="shared" si="25"/>
        <v>6.0659999999999989</v>
      </c>
      <c r="V356" s="59" t="s">
        <v>184</v>
      </c>
      <c r="W356" s="367">
        <v>157</v>
      </c>
      <c r="X356" s="365">
        <v>30</v>
      </c>
      <c r="Y356" s="127">
        <v>6.1109999999999998</v>
      </c>
      <c r="Z356" s="126">
        <f t="shared" si="26"/>
        <v>6.0659999999999989</v>
      </c>
      <c r="AA356" s="59" t="s">
        <v>184</v>
      </c>
      <c r="AB356" s="367">
        <v>157</v>
      </c>
      <c r="AC356" s="365">
        <v>30</v>
      </c>
      <c r="AD356" s="127">
        <v>6.1109999999999998</v>
      </c>
      <c r="AE356" s="122">
        <f t="shared" si="27"/>
        <v>6.0659999999999989</v>
      </c>
      <c r="AF356" s="59" t="s">
        <v>184</v>
      </c>
      <c r="AG356" s="367">
        <v>157</v>
      </c>
      <c r="AH356" s="365">
        <v>30</v>
      </c>
      <c r="AI356" s="127">
        <v>6.1109999999999998</v>
      </c>
      <c r="AJ356" s="126">
        <f t="shared" si="28"/>
        <v>6.0659999999999989</v>
      </c>
      <c r="AK356" s="59" t="s">
        <v>184</v>
      </c>
      <c r="AL356" s="367">
        <v>157</v>
      </c>
      <c r="AM356" s="365">
        <v>30</v>
      </c>
      <c r="AN356" s="127">
        <v>6.1109999999999998</v>
      </c>
      <c r="AO356" s="126">
        <f t="shared" si="29"/>
        <v>6.0659999999999989</v>
      </c>
      <c r="AP356" s="59" t="s">
        <v>184</v>
      </c>
      <c r="AQ356" s="367">
        <v>157</v>
      </c>
      <c r="AR356" s="365">
        <v>30</v>
      </c>
      <c r="AS356" s="127">
        <v>6.1109999999999998</v>
      </c>
    </row>
    <row r="357" spans="11:45" ht="15.75" thickBot="1" x14ac:dyDescent="0.3">
      <c r="K357" s="125"/>
      <c r="L357" s="166"/>
      <c r="M357" s="166"/>
      <c r="N357" s="166"/>
      <c r="O357" s="166"/>
      <c r="P357" s="165">
        <f t="shared" si="24"/>
        <v>7.7460999999999993</v>
      </c>
      <c r="Q357" s="152" t="s">
        <v>353</v>
      </c>
      <c r="R357" s="153"/>
      <c r="S357" s="153"/>
      <c r="T357" s="377"/>
      <c r="U357" s="154">
        <f t="shared" si="25"/>
        <v>6.1109999999999998</v>
      </c>
      <c r="V357" s="123" t="s">
        <v>98</v>
      </c>
      <c r="W357" s="367">
        <v>107</v>
      </c>
      <c r="X357" s="365">
        <v>30</v>
      </c>
      <c r="Y357" s="127">
        <v>6.3629999999999995</v>
      </c>
      <c r="Z357" s="126">
        <f t="shared" si="26"/>
        <v>6.1109999999999998</v>
      </c>
      <c r="AA357" s="123" t="s">
        <v>98</v>
      </c>
      <c r="AB357" s="367">
        <v>107</v>
      </c>
      <c r="AC357" s="365">
        <v>30</v>
      </c>
      <c r="AD357" s="127">
        <v>6.3629999999999995</v>
      </c>
      <c r="AE357" s="122">
        <f t="shared" si="27"/>
        <v>6.1109999999999998</v>
      </c>
      <c r="AF357" s="123" t="s">
        <v>98</v>
      </c>
      <c r="AG357" s="367">
        <v>107</v>
      </c>
      <c r="AH357" s="365">
        <v>30</v>
      </c>
      <c r="AI357" s="127">
        <v>6.3629999999999995</v>
      </c>
      <c r="AJ357" s="126">
        <f t="shared" si="28"/>
        <v>6.1109999999999998</v>
      </c>
      <c r="AK357" s="123" t="s">
        <v>156</v>
      </c>
      <c r="AL357" s="368">
        <v>107</v>
      </c>
      <c r="AM357" s="365">
        <v>24</v>
      </c>
      <c r="AN357" s="127">
        <v>6.3629999999999995</v>
      </c>
      <c r="AO357" s="126">
        <f t="shared" si="29"/>
        <v>6.1109999999999998</v>
      </c>
      <c r="AP357" s="123" t="s">
        <v>156</v>
      </c>
      <c r="AQ357" s="368">
        <v>107</v>
      </c>
      <c r="AR357" s="365">
        <v>24</v>
      </c>
      <c r="AS357" s="127">
        <v>6.3629999999999995</v>
      </c>
    </row>
    <row r="358" spans="11:45" x14ac:dyDescent="0.25">
      <c r="K358" s="125"/>
      <c r="L358" s="166"/>
      <c r="M358" s="166"/>
      <c r="N358" s="166"/>
      <c r="O358" s="166"/>
      <c r="P358" s="155"/>
      <c r="Q358" s="166"/>
      <c r="R358" s="166"/>
      <c r="S358" s="166"/>
      <c r="T358" s="166"/>
      <c r="U358" s="154">
        <f t="shared" si="25"/>
        <v>6.3629999999999995</v>
      </c>
      <c r="V358" s="59" t="s">
        <v>182</v>
      </c>
      <c r="W358" s="367">
        <v>123</v>
      </c>
      <c r="X358" s="365">
        <v>24</v>
      </c>
      <c r="Y358" s="127">
        <v>6.426000000000001</v>
      </c>
      <c r="Z358" s="126">
        <f t="shared" si="26"/>
        <v>6.3629999999999995</v>
      </c>
      <c r="AA358" s="59" t="s">
        <v>182</v>
      </c>
      <c r="AB358" s="367">
        <v>123</v>
      </c>
      <c r="AC358" s="365">
        <v>24</v>
      </c>
      <c r="AD358" s="127">
        <v>6.426000000000001</v>
      </c>
      <c r="AE358" s="122">
        <f t="shared" si="27"/>
        <v>6.3629999999999995</v>
      </c>
      <c r="AF358" s="59" t="s">
        <v>182</v>
      </c>
      <c r="AG358" s="367">
        <v>123</v>
      </c>
      <c r="AH358" s="365">
        <v>24</v>
      </c>
      <c r="AI358" s="127">
        <v>6.426000000000001</v>
      </c>
      <c r="AJ358" s="126">
        <f t="shared" si="28"/>
        <v>6.3629999999999995</v>
      </c>
      <c r="AK358" s="59" t="s">
        <v>182</v>
      </c>
      <c r="AL358" s="367">
        <v>123</v>
      </c>
      <c r="AM358" s="365">
        <v>24</v>
      </c>
      <c r="AN358" s="127">
        <v>6.426000000000001</v>
      </c>
      <c r="AO358" s="126">
        <f t="shared" si="29"/>
        <v>6.3629999999999995</v>
      </c>
      <c r="AP358" s="59" t="s">
        <v>182</v>
      </c>
      <c r="AQ358" s="367">
        <v>123</v>
      </c>
      <c r="AR358" s="365">
        <v>24</v>
      </c>
      <c r="AS358" s="127">
        <v>6.426000000000001</v>
      </c>
    </row>
    <row r="359" spans="11:45" x14ac:dyDescent="0.25">
      <c r="K359" s="125"/>
      <c r="L359" s="166"/>
      <c r="M359" s="166"/>
      <c r="N359" s="166"/>
      <c r="O359" s="166"/>
      <c r="P359" s="155"/>
      <c r="Q359" s="166"/>
      <c r="R359" s="166"/>
      <c r="S359" s="166"/>
      <c r="T359" s="166"/>
      <c r="U359" s="126">
        <f t="shared" si="25"/>
        <v>6.426000000000001</v>
      </c>
      <c r="V359" s="123" t="s">
        <v>213</v>
      </c>
      <c r="W359" s="367">
        <v>92.2</v>
      </c>
      <c r="X359" s="365">
        <v>24</v>
      </c>
      <c r="Y359" s="127">
        <v>6.45</v>
      </c>
      <c r="Z359" s="126">
        <f t="shared" si="26"/>
        <v>6.426000000000001</v>
      </c>
      <c r="AA359" s="123" t="s">
        <v>213</v>
      </c>
      <c r="AB359" s="367">
        <v>92.2</v>
      </c>
      <c r="AC359" s="365">
        <v>24</v>
      </c>
      <c r="AD359" s="127">
        <v>6.45</v>
      </c>
      <c r="AE359" s="122">
        <f t="shared" si="27"/>
        <v>6.426000000000001</v>
      </c>
      <c r="AF359" s="123" t="s">
        <v>213</v>
      </c>
      <c r="AG359" s="367">
        <v>92.2</v>
      </c>
      <c r="AH359" s="365">
        <v>24</v>
      </c>
      <c r="AI359" s="127">
        <v>6.45</v>
      </c>
      <c r="AJ359" s="126">
        <f t="shared" si="28"/>
        <v>6.426000000000001</v>
      </c>
      <c r="AK359" s="123" t="s">
        <v>213</v>
      </c>
      <c r="AL359" s="367">
        <v>92.2</v>
      </c>
      <c r="AM359" s="365">
        <v>24</v>
      </c>
      <c r="AN359" s="127">
        <v>6.45</v>
      </c>
      <c r="AO359" s="126">
        <f t="shared" si="29"/>
        <v>6.426000000000001</v>
      </c>
      <c r="AP359" s="123" t="s">
        <v>213</v>
      </c>
      <c r="AQ359" s="367">
        <v>92.2</v>
      </c>
      <c r="AR359" s="365">
        <v>24</v>
      </c>
      <c r="AS359" s="127">
        <v>6.45</v>
      </c>
    </row>
    <row r="360" spans="11:45" x14ac:dyDescent="0.25">
      <c r="K360" s="125"/>
      <c r="L360" s="166"/>
      <c r="M360" s="166"/>
      <c r="N360" s="166"/>
      <c r="O360" s="166"/>
      <c r="P360" s="155"/>
      <c r="Q360" s="166"/>
      <c r="R360" s="166"/>
      <c r="S360" s="166"/>
      <c r="T360" s="166"/>
      <c r="U360" s="126">
        <f t="shared" si="25"/>
        <v>6.45</v>
      </c>
      <c r="V360" s="123" t="s">
        <v>95</v>
      </c>
      <c r="W360" s="367">
        <v>98.8</v>
      </c>
      <c r="X360" s="365">
        <v>30</v>
      </c>
      <c r="Y360" s="127">
        <v>6.5652999999999997</v>
      </c>
      <c r="Z360" s="126">
        <f t="shared" si="26"/>
        <v>6.45</v>
      </c>
      <c r="AA360" s="123" t="s">
        <v>95</v>
      </c>
      <c r="AB360" s="367">
        <v>98.8</v>
      </c>
      <c r="AC360" s="365">
        <v>30</v>
      </c>
      <c r="AD360" s="127">
        <v>6.5652999999999997</v>
      </c>
      <c r="AE360" s="122">
        <f t="shared" si="27"/>
        <v>6.45</v>
      </c>
      <c r="AF360" s="123" t="s">
        <v>95</v>
      </c>
      <c r="AG360" s="367">
        <v>98.8</v>
      </c>
      <c r="AH360" s="365">
        <v>30</v>
      </c>
      <c r="AI360" s="127">
        <v>6.5652999999999997</v>
      </c>
      <c r="AJ360" s="126">
        <f t="shared" si="28"/>
        <v>6.45</v>
      </c>
      <c r="AK360" s="123" t="s">
        <v>95</v>
      </c>
      <c r="AL360" s="367">
        <v>98.8</v>
      </c>
      <c r="AM360" s="365">
        <v>30</v>
      </c>
      <c r="AN360" s="127">
        <v>6.5652999999999997</v>
      </c>
      <c r="AO360" s="126">
        <f t="shared" si="29"/>
        <v>6.45</v>
      </c>
      <c r="AP360" s="123" t="s">
        <v>95</v>
      </c>
      <c r="AQ360" s="367">
        <v>98.8</v>
      </c>
      <c r="AR360" s="365">
        <v>30</v>
      </c>
      <c r="AS360" s="127">
        <v>6.5652999999999997</v>
      </c>
    </row>
    <row r="361" spans="11:45" x14ac:dyDescent="0.25">
      <c r="K361" s="161"/>
      <c r="L361" s="166"/>
      <c r="M361" s="166"/>
      <c r="N361" s="166"/>
      <c r="O361" s="166"/>
      <c r="P361" s="155"/>
      <c r="Q361" s="166"/>
      <c r="R361" s="166"/>
      <c r="S361" s="166"/>
      <c r="T361" s="166"/>
      <c r="U361" s="126">
        <f t="shared" si="25"/>
        <v>6.5652999999999997</v>
      </c>
      <c r="V361" s="123" t="s">
        <v>222</v>
      </c>
      <c r="W361" s="367">
        <v>98.3</v>
      </c>
      <c r="X361" s="365">
        <v>30</v>
      </c>
      <c r="Y361" s="127">
        <v>6.5714999999999995</v>
      </c>
      <c r="Z361" s="126">
        <f t="shared" si="26"/>
        <v>6.5652999999999997</v>
      </c>
      <c r="AA361" s="123" t="s">
        <v>222</v>
      </c>
      <c r="AB361" s="367">
        <v>98.3</v>
      </c>
      <c r="AC361" s="365">
        <v>30</v>
      </c>
      <c r="AD361" s="127">
        <v>6.5714999999999995</v>
      </c>
      <c r="AE361" s="122">
        <f t="shared" si="27"/>
        <v>6.5652999999999997</v>
      </c>
      <c r="AF361" s="123" t="s">
        <v>222</v>
      </c>
      <c r="AG361" s="367">
        <v>98.3</v>
      </c>
      <c r="AH361" s="365">
        <v>30</v>
      </c>
      <c r="AI361" s="127">
        <v>6.5714999999999995</v>
      </c>
      <c r="AJ361" s="126">
        <f t="shared" si="28"/>
        <v>6.5652999999999997</v>
      </c>
      <c r="AK361" s="123" t="s">
        <v>222</v>
      </c>
      <c r="AL361" s="367">
        <v>98.3</v>
      </c>
      <c r="AM361" s="365">
        <v>30</v>
      </c>
      <c r="AN361" s="127">
        <v>6.5714999999999995</v>
      </c>
      <c r="AO361" s="126">
        <f t="shared" si="29"/>
        <v>6.5652999999999997</v>
      </c>
      <c r="AP361" s="123" t="s">
        <v>222</v>
      </c>
      <c r="AQ361" s="367">
        <v>98.3</v>
      </c>
      <c r="AR361" s="365">
        <v>30</v>
      </c>
      <c r="AS361" s="127">
        <v>6.5714999999999995</v>
      </c>
    </row>
    <row r="362" spans="11:45" x14ac:dyDescent="0.25">
      <c r="K362" s="125"/>
      <c r="L362" s="166"/>
      <c r="M362" s="166"/>
      <c r="N362" s="166"/>
      <c r="O362" s="166"/>
      <c r="P362" s="155"/>
      <c r="Q362" s="166"/>
      <c r="R362" s="166"/>
      <c r="S362" s="166"/>
      <c r="T362" s="166"/>
      <c r="U362" s="126">
        <f t="shared" si="25"/>
        <v>6.5714999999999995</v>
      </c>
      <c r="V362" s="123" t="s">
        <v>92</v>
      </c>
      <c r="W362" s="367">
        <v>93.8</v>
      </c>
      <c r="X362" s="365">
        <v>24</v>
      </c>
      <c r="Y362" s="127">
        <v>6.6005500000000001</v>
      </c>
      <c r="Z362" s="126">
        <f t="shared" si="26"/>
        <v>6.5714999999999995</v>
      </c>
      <c r="AA362" s="123" t="s">
        <v>92</v>
      </c>
      <c r="AB362" s="367">
        <v>93.8</v>
      </c>
      <c r="AC362" s="365">
        <v>24</v>
      </c>
      <c r="AD362" s="127">
        <v>6.6005500000000001</v>
      </c>
      <c r="AE362" s="122">
        <f t="shared" si="27"/>
        <v>6.5714999999999995</v>
      </c>
      <c r="AF362" s="123" t="s">
        <v>92</v>
      </c>
      <c r="AG362" s="367">
        <v>93.8</v>
      </c>
      <c r="AH362" s="365">
        <v>24</v>
      </c>
      <c r="AI362" s="127">
        <v>6.6005500000000001</v>
      </c>
      <c r="AJ362" s="126">
        <f t="shared" si="28"/>
        <v>6.5714999999999995</v>
      </c>
      <c r="AK362" s="123" t="s">
        <v>92</v>
      </c>
      <c r="AL362" s="367">
        <v>93.8</v>
      </c>
      <c r="AM362" s="365">
        <v>24</v>
      </c>
      <c r="AN362" s="127">
        <v>6.6005500000000001</v>
      </c>
      <c r="AO362" s="126">
        <f t="shared" si="29"/>
        <v>6.5714999999999995</v>
      </c>
      <c r="AP362" s="123" t="s">
        <v>92</v>
      </c>
      <c r="AQ362" s="367">
        <v>93.8</v>
      </c>
      <c r="AR362" s="365">
        <v>24</v>
      </c>
      <c r="AS362" s="127">
        <v>6.6005500000000001</v>
      </c>
    </row>
    <row r="363" spans="11:45" x14ac:dyDescent="0.25">
      <c r="K363" s="125"/>
      <c r="L363" s="166"/>
      <c r="M363" s="166"/>
      <c r="N363" s="166"/>
      <c r="O363" s="166"/>
      <c r="P363" s="155"/>
      <c r="Q363" s="166"/>
      <c r="R363" s="166"/>
      <c r="S363" s="166"/>
      <c r="T363" s="166"/>
      <c r="U363" s="154">
        <f t="shared" si="25"/>
        <v>6.6005500000000001</v>
      </c>
      <c r="V363" s="59" t="s">
        <v>185</v>
      </c>
      <c r="W363" s="367">
        <v>173</v>
      </c>
      <c r="X363" s="365">
        <v>30</v>
      </c>
      <c r="Y363" s="127">
        <v>6.6150000000000002</v>
      </c>
      <c r="Z363" s="126">
        <f t="shared" si="26"/>
        <v>6.6005500000000001</v>
      </c>
      <c r="AA363" s="59" t="s">
        <v>185</v>
      </c>
      <c r="AB363" s="367">
        <v>173</v>
      </c>
      <c r="AC363" s="365">
        <v>30</v>
      </c>
      <c r="AD363" s="127">
        <v>6.6150000000000002</v>
      </c>
      <c r="AE363" s="122">
        <f t="shared" si="27"/>
        <v>6.6005500000000001</v>
      </c>
      <c r="AF363" s="59" t="s">
        <v>185</v>
      </c>
      <c r="AG363" s="367">
        <v>173</v>
      </c>
      <c r="AH363" s="365">
        <v>30</v>
      </c>
      <c r="AI363" s="127">
        <v>6.6150000000000002</v>
      </c>
      <c r="AJ363" s="126">
        <f t="shared" si="28"/>
        <v>6.6005500000000001</v>
      </c>
      <c r="AK363" s="59" t="s">
        <v>185</v>
      </c>
      <c r="AL363" s="367">
        <v>173</v>
      </c>
      <c r="AM363" s="365">
        <v>30</v>
      </c>
      <c r="AN363" s="127">
        <v>6.6150000000000002</v>
      </c>
      <c r="AO363" s="126">
        <f t="shared" si="29"/>
        <v>6.6005500000000001</v>
      </c>
      <c r="AP363" s="59" t="s">
        <v>185</v>
      </c>
      <c r="AQ363" s="367">
        <v>173</v>
      </c>
      <c r="AR363" s="365">
        <v>30</v>
      </c>
      <c r="AS363" s="127">
        <v>6.6150000000000002</v>
      </c>
    </row>
    <row r="364" spans="11:45" x14ac:dyDescent="0.25">
      <c r="K364" s="125"/>
      <c r="L364" s="166"/>
      <c r="M364" s="166"/>
      <c r="N364" s="166"/>
      <c r="O364" s="166"/>
      <c r="P364" s="155"/>
      <c r="Q364" s="166"/>
      <c r="R364" s="166"/>
      <c r="S364" s="166"/>
      <c r="T364" s="166"/>
      <c r="U364" s="154">
        <f t="shared" si="25"/>
        <v>6.6150000000000002</v>
      </c>
      <c r="V364" s="123" t="s">
        <v>159</v>
      </c>
      <c r="W364" s="368">
        <v>145</v>
      </c>
      <c r="X364" s="365">
        <v>24</v>
      </c>
      <c r="Y364" s="127">
        <v>6.6551</v>
      </c>
      <c r="Z364" s="126">
        <f t="shared" si="26"/>
        <v>6.6150000000000002</v>
      </c>
      <c r="AA364" s="123" t="s">
        <v>159</v>
      </c>
      <c r="AB364" s="368">
        <v>145</v>
      </c>
      <c r="AC364" s="365">
        <v>24</v>
      </c>
      <c r="AD364" s="127">
        <v>6.6551</v>
      </c>
      <c r="AE364" s="122">
        <f t="shared" si="27"/>
        <v>6.6150000000000002</v>
      </c>
      <c r="AF364" s="123" t="s">
        <v>159</v>
      </c>
      <c r="AG364" s="368">
        <v>145</v>
      </c>
      <c r="AH364" s="365">
        <v>24</v>
      </c>
      <c r="AI364" s="127">
        <v>6.6551</v>
      </c>
      <c r="AJ364" s="126">
        <f t="shared" si="28"/>
        <v>6.6150000000000002</v>
      </c>
      <c r="AK364" s="123" t="s">
        <v>159</v>
      </c>
      <c r="AL364" s="368">
        <v>145</v>
      </c>
      <c r="AM364" s="365">
        <v>24</v>
      </c>
      <c r="AN364" s="127">
        <v>6.6551</v>
      </c>
      <c r="AO364" s="126">
        <f t="shared" si="29"/>
        <v>6.6150000000000002</v>
      </c>
      <c r="AP364" s="123" t="s">
        <v>159</v>
      </c>
      <c r="AQ364" s="368">
        <v>145</v>
      </c>
      <c r="AR364" s="365">
        <v>24</v>
      </c>
      <c r="AS364" s="127">
        <v>6.6551</v>
      </c>
    </row>
    <row r="365" spans="11:45" x14ac:dyDescent="0.25">
      <c r="K365" s="161"/>
      <c r="L365" s="166"/>
      <c r="M365" s="166"/>
      <c r="N365" s="166"/>
      <c r="O365" s="166"/>
      <c r="P365" s="155"/>
      <c r="Q365" s="166"/>
      <c r="R365" s="166"/>
      <c r="S365" s="166"/>
      <c r="T365" s="166"/>
      <c r="U365" s="154">
        <f t="shared" si="25"/>
        <v>6.6551</v>
      </c>
      <c r="V365" s="123" t="s">
        <v>141</v>
      </c>
      <c r="W365" s="368">
        <v>126</v>
      </c>
      <c r="X365" s="365">
        <v>24</v>
      </c>
      <c r="Y365" s="127">
        <v>6.6892999999999994</v>
      </c>
      <c r="Z365" s="126">
        <f t="shared" si="26"/>
        <v>6.6551</v>
      </c>
      <c r="AA365" s="123" t="s">
        <v>141</v>
      </c>
      <c r="AB365" s="368">
        <v>126</v>
      </c>
      <c r="AC365" s="365">
        <v>24</v>
      </c>
      <c r="AD365" s="127">
        <v>6.6892999999999994</v>
      </c>
      <c r="AE365" s="122">
        <f t="shared" si="27"/>
        <v>6.6551</v>
      </c>
      <c r="AF365" s="123" t="s">
        <v>141</v>
      </c>
      <c r="AG365" s="368">
        <v>126</v>
      </c>
      <c r="AH365" s="365">
        <v>24</v>
      </c>
      <c r="AI365" s="127">
        <v>6.6892999999999994</v>
      </c>
      <c r="AJ365" s="126">
        <f t="shared" si="28"/>
        <v>6.6551</v>
      </c>
      <c r="AK365" s="123" t="s">
        <v>141</v>
      </c>
      <c r="AL365" s="368">
        <v>126</v>
      </c>
      <c r="AM365" s="365">
        <v>24</v>
      </c>
      <c r="AN365" s="127">
        <v>6.6892999999999994</v>
      </c>
      <c r="AO365" s="126">
        <f t="shared" si="29"/>
        <v>6.6551</v>
      </c>
      <c r="AP365" s="123" t="s">
        <v>141</v>
      </c>
      <c r="AQ365" s="368">
        <v>126</v>
      </c>
      <c r="AR365" s="365">
        <v>24</v>
      </c>
      <c r="AS365" s="127">
        <v>6.6892999999999994</v>
      </c>
    </row>
    <row r="366" spans="11:45" x14ac:dyDescent="0.25">
      <c r="K366" s="125"/>
      <c r="L366" s="166"/>
      <c r="M366" s="166"/>
      <c r="N366" s="166"/>
      <c r="O366" s="166"/>
      <c r="P366" s="155"/>
      <c r="Q366" s="166"/>
      <c r="R366" s="166"/>
      <c r="S366" s="166"/>
      <c r="T366" s="166"/>
      <c r="U366" s="154">
        <f t="shared" si="25"/>
        <v>6.6892999999999994</v>
      </c>
      <c r="V366" s="59" t="s">
        <v>215</v>
      </c>
      <c r="W366" s="367">
        <v>134</v>
      </c>
      <c r="X366" s="365">
        <v>30</v>
      </c>
      <c r="Y366" s="127">
        <v>6.8250000000000002</v>
      </c>
      <c r="Z366" s="126">
        <f t="shared" si="26"/>
        <v>6.6892999999999994</v>
      </c>
      <c r="AA366" s="59" t="s">
        <v>215</v>
      </c>
      <c r="AB366" s="367">
        <v>134</v>
      </c>
      <c r="AC366" s="365">
        <v>30</v>
      </c>
      <c r="AD366" s="127">
        <v>6.8250000000000002</v>
      </c>
      <c r="AE366" s="122">
        <f t="shared" si="27"/>
        <v>6.6892999999999994</v>
      </c>
      <c r="AF366" s="59" t="s">
        <v>215</v>
      </c>
      <c r="AG366" s="367">
        <v>134</v>
      </c>
      <c r="AH366" s="365">
        <v>30</v>
      </c>
      <c r="AI366" s="127">
        <v>6.8250000000000002</v>
      </c>
      <c r="AJ366" s="126">
        <f t="shared" si="28"/>
        <v>6.6892999999999994</v>
      </c>
      <c r="AK366" s="59" t="s">
        <v>215</v>
      </c>
      <c r="AL366" s="367">
        <v>134</v>
      </c>
      <c r="AM366" s="365">
        <v>30</v>
      </c>
      <c r="AN366" s="127">
        <v>6.8250000000000002</v>
      </c>
      <c r="AO366" s="126">
        <f t="shared" si="29"/>
        <v>6.6892999999999994</v>
      </c>
      <c r="AP366" s="59" t="s">
        <v>215</v>
      </c>
      <c r="AQ366" s="367">
        <v>134</v>
      </c>
      <c r="AR366" s="365">
        <v>30</v>
      </c>
      <c r="AS366" s="127">
        <v>6.8250000000000002</v>
      </c>
    </row>
    <row r="367" spans="11:45" x14ac:dyDescent="0.25">
      <c r="K367" s="125"/>
      <c r="L367" s="166"/>
      <c r="M367" s="166"/>
      <c r="N367" s="166"/>
      <c r="O367" s="166"/>
      <c r="P367" s="155"/>
      <c r="Q367" s="166"/>
      <c r="R367" s="166"/>
      <c r="S367" s="166"/>
      <c r="T367" s="166"/>
      <c r="U367" s="126">
        <f t="shared" si="25"/>
        <v>6.8250000000000002</v>
      </c>
      <c r="V367" s="159" t="s">
        <v>241</v>
      </c>
      <c r="W367" s="367">
        <v>81.599999999999994</v>
      </c>
      <c r="X367" s="365">
        <v>30</v>
      </c>
      <c r="Y367" s="162">
        <v>6.9160000000000004</v>
      </c>
      <c r="Z367" s="126">
        <f t="shared" si="26"/>
        <v>6.8250000000000002</v>
      </c>
      <c r="AA367" s="159" t="s">
        <v>241</v>
      </c>
      <c r="AB367" s="367">
        <v>81.599999999999994</v>
      </c>
      <c r="AC367" s="365">
        <v>30</v>
      </c>
      <c r="AD367" s="162">
        <v>6.9160000000000004</v>
      </c>
      <c r="AE367" s="122">
        <f t="shared" si="27"/>
        <v>6.8250000000000002</v>
      </c>
      <c r="AF367" s="159" t="s">
        <v>241</v>
      </c>
      <c r="AG367" s="367">
        <v>81.599999999999994</v>
      </c>
      <c r="AH367" s="365">
        <v>30</v>
      </c>
      <c r="AI367" s="162">
        <v>6.9160000000000004</v>
      </c>
      <c r="AJ367" s="126">
        <f t="shared" si="28"/>
        <v>6.8250000000000002</v>
      </c>
      <c r="AK367" s="159" t="s">
        <v>241</v>
      </c>
      <c r="AL367" s="367">
        <v>81.599999999999994</v>
      </c>
      <c r="AM367" s="365">
        <v>30</v>
      </c>
      <c r="AN367" s="162">
        <v>6.9160000000000004</v>
      </c>
      <c r="AO367" s="126">
        <f t="shared" si="29"/>
        <v>6.8250000000000002</v>
      </c>
      <c r="AP367" s="159" t="s">
        <v>241</v>
      </c>
      <c r="AQ367" s="367">
        <v>81.599999999999994</v>
      </c>
      <c r="AR367" s="365">
        <v>30</v>
      </c>
      <c r="AS367" s="162">
        <v>6.9160000000000004</v>
      </c>
    </row>
    <row r="368" spans="11:45" x14ac:dyDescent="0.25">
      <c r="K368" s="125"/>
      <c r="L368" s="166"/>
      <c r="M368" s="166"/>
      <c r="N368" s="166"/>
      <c r="O368" s="166"/>
      <c r="P368" s="155"/>
      <c r="Q368" s="166"/>
      <c r="R368" s="166"/>
      <c r="S368" s="166"/>
      <c r="T368" s="166"/>
      <c r="U368" s="154">
        <f t="shared" ref="U368:U399" si="30">Y367</f>
        <v>6.9160000000000004</v>
      </c>
      <c r="V368" s="59" t="s">
        <v>223</v>
      </c>
      <c r="W368" s="367">
        <v>108</v>
      </c>
      <c r="X368" s="365">
        <v>30</v>
      </c>
      <c r="Y368" s="127">
        <v>6.9927499999999991</v>
      </c>
      <c r="Z368" s="126">
        <f t="shared" ref="Z368:Z399" si="31">AD367</f>
        <v>6.9160000000000004</v>
      </c>
      <c r="AA368" s="59" t="s">
        <v>223</v>
      </c>
      <c r="AB368" s="367">
        <v>108</v>
      </c>
      <c r="AC368" s="365">
        <v>30</v>
      </c>
      <c r="AD368" s="127">
        <v>6.9927499999999991</v>
      </c>
      <c r="AE368" s="122">
        <f t="shared" si="27"/>
        <v>6.9160000000000004</v>
      </c>
      <c r="AF368" s="59" t="s">
        <v>223</v>
      </c>
      <c r="AG368" s="367">
        <v>108</v>
      </c>
      <c r="AH368" s="365">
        <v>30</v>
      </c>
      <c r="AI368" s="127">
        <v>6.9927499999999991</v>
      </c>
      <c r="AJ368" s="126">
        <f t="shared" si="28"/>
        <v>6.9160000000000004</v>
      </c>
      <c r="AK368" s="59" t="s">
        <v>223</v>
      </c>
      <c r="AL368" s="367">
        <v>108</v>
      </c>
      <c r="AM368" s="365">
        <v>30</v>
      </c>
      <c r="AN368" s="127">
        <v>6.9927499999999991</v>
      </c>
      <c r="AO368" s="126">
        <f t="shared" si="29"/>
        <v>6.9160000000000004</v>
      </c>
      <c r="AP368" s="59" t="s">
        <v>223</v>
      </c>
      <c r="AQ368" s="367">
        <v>108</v>
      </c>
      <c r="AR368" s="365">
        <v>30</v>
      </c>
      <c r="AS368" s="127">
        <v>6.9927499999999991</v>
      </c>
    </row>
    <row r="369" spans="11:45" x14ac:dyDescent="0.25">
      <c r="K369" s="161"/>
      <c r="L369" s="166"/>
      <c r="M369" s="166"/>
      <c r="N369" s="166"/>
      <c r="O369" s="166"/>
      <c r="P369" s="155"/>
      <c r="Q369" s="166"/>
      <c r="R369" s="166"/>
      <c r="S369" s="166"/>
      <c r="T369" s="166"/>
      <c r="U369" s="154">
        <f t="shared" si="30"/>
        <v>6.9927499999999991</v>
      </c>
      <c r="V369" s="59" t="s">
        <v>226</v>
      </c>
      <c r="W369" s="367">
        <v>146</v>
      </c>
      <c r="X369" s="365">
        <v>30</v>
      </c>
      <c r="Y369" s="127">
        <v>7.1612500000000008</v>
      </c>
      <c r="Z369" s="126">
        <f t="shared" si="31"/>
        <v>6.9927499999999991</v>
      </c>
      <c r="AA369" s="59" t="s">
        <v>226</v>
      </c>
      <c r="AB369" s="367">
        <v>146</v>
      </c>
      <c r="AC369" s="365">
        <v>30</v>
      </c>
      <c r="AD369" s="127">
        <v>7.1612500000000008</v>
      </c>
      <c r="AE369" s="122">
        <f t="shared" si="27"/>
        <v>6.9927499999999991</v>
      </c>
      <c r="AF369" s="59" t="s">
        <v>226</v>
      </c>
      <c r="AG369" s="367">
        <v>146</v>
      </c>
      <c r="AH369" s="365">
        <v>30</v>
      </c>
      <c r="AI369" s="127">
        <v>7.1612500000000008</v>
      </c>
      <c r="AJ369" s="126">
        <f t="shared" si="28"/>
        <v>6.9927499999999991</v>
      </c>
      <c r="AK369" s="59" t="s">
        <v>226</v>
      </c>
      <c r="AL369" s="367">
        <v>146</v>
      </c>
      <c r="AM369" s="365">
        <v>30</v>
      </c>
      <c r="AN369" s="127">
        <v>7.1612500000000008</v>
      </c>
      <c r="AO369" s="126">
        <f t="shared" si="29"/>
        <v>6.9927499999999991</v>
      </c>
      <c r="AP369" s="59" t="s">
        <v>226</v>
      </c>
      <c r="AQ369" s="367">
        <v>146</v>
      </c>
      <c r="AR369" s="365">
        <v>30</v>
      </c>
      <c r="AS369" s="127">
        <v>7.1612500000000008</v>
      </c>
    </row>
    <row r="370" spans="11:45" x14ac:dyDescent="0.25">
      <c r="K370" s="125"/>
      <c r="L370" s="166"/>
      <c r="M370" s="166"/>
      <c r="N370" s="166"/>
      <c r="O370" s="166"/>
      <c r="P370" s="155"/>
      <c r="Q370" s="166"/>
      <c r="R370" s="166"/>
      <c r="S370" s="166"/>
      <c r="T370" s="166"/>
      <c r="U370" s="154">
        <f t="shared" si="30"/>
        <v>7.1612500000000008</v>
      </c>
      <c r="V370" s="59" t="s">
        <v>186</v>
      </c>
      <c r="W370" s="367">
        <v>190</v>
      </c>
      <c r="X370" s="365">
        <v>30</v>
      </c>
      <c r="Y370" s="127">
        <v>7.4340000000000002</v>
      </c>
      <c r="Z370" s="126">
        <f t="shared" si="31"/>
        <v>7.1612500000000008</v>
      </c>
      <c r="AA370" s="59" t="s">
        <v>186</v>
      </c>
      <c r="AB370" s="367">
        <v>190</v>
      </c>
      <c r="AC370" s="365">
        <v>30</v>
      </c>
      <c r="AD370" s="127">
        <v>7.4340000000000002</v>
      </c>
      <c r="AE370" s="122">
        <f t="shared" si="27"/>
        <v>7.1612500000000008</v>
      </c>
      <c r="AF370" s="59" t="s">
        <v>186</v>
      </c>
      <c r="AG370" s="367">
        <v>190</v>
      </c>
      <c r="AH370" s="365">
        <v>30</v>
      </c>
      <c r="AI370" s="127">
        <v>7.4340000000000002</v>
      </c>
      <c r="AJ370" s="126">
        <f t="shared" si="28"/>
        <v>7.1612500000000008</v>
      </c>
      <c r="AK370" s="59" t="s">
        <v>186</v>
      </c>
      <c r="AL370" s="367">
        <v>190</v>
      </c>
      <c r="AM370" s="365">
        <v>30</v>
      </c>
      <c r="AN370" s="127">
        <v>7.4340000000000002</v>
      </c>
      <c r="AO370" s="126">
        <f t="shared" si="29"/>
        <v>7.1612500000000008</v>
      </c>
      <c r="AP370" s="59" t="s">
        <v>186</v>
      </c>
      <c r="AQ370" s="367">
        <v>190</v>
      </c>
      <c r="AR370" s="365">
        <v>30</v>
      </c>
      <c r="AS370" s="127">
        <v>7.4340000000000002</v>
      </c>
    </row>
    <row r="371" spans="11:45" x14ac:dyDescent="0.25">
      <c r="K371" s="125"/>
      <c r="L371" s="166"/>
      <c r="M371" s="166"/>
      <c r="N371" s="166"/>
      <c r="O371" s="166"/>
      <c r="P371" s="155"/>
      <c r="Q371" s="166"/>
      <c r="R371" s="166"/>
      <c r="S371" s="166"/>
      <c r="T371" s="166"/>
      <c r="U371" s="126">
        <f t="shared" si="30"/>
        <v>7.4340000000000002</v>
      </c>
      <c r="V371" s="59" t="s">
        <v>93</v>
      </c>
      <c r="W371" s="367">
        <v>106</v>
      </c>
      <c r="X371" s="365">
        <v>24</v>
      </c>
      <c r="Y371" s="127">
        <v>7.4733500000000008</v>
      </c>
      <c r="Z371" s="126">
        <f t="shared" si="31"/>
        <v>7.4340000000000002</v>
      </c>
      <c r="AA371" s="59" t="s">
        <v>93</v>
      </c>
      <c r="AB371" s="367">
        <v>106</v>
      </c>
      <c r="AC371" s="365">
        <v>24</v>
      </c>
      <c r="AD371" s="127">
        <v>7.4733500000000008</v>
      </c>
      <c r="AE371" s="122">
        <f t="shared" si="27"/>
        <v>7.4340000000000002</v>
      </c>
      <c r="AF371" s="59" t="s">
        <v>93</v>
      </c>
      <c r="AG371" s="367">
        <v>106</v>
      </c>
      <c r="AH371" s="365">
        <v>24</v>
      </c>
      <c r="AI371" s="127">
        <v>7.4733500000000008</v>
      </c>
      <c r="AJ371" s="126">
        <f t="shared" si="28"/>
        <v>7.4340000000000002</v>
      </c>
      <c r="AK371" s="59" t="s">
        <v>93</v>
      </c>
      <c r="AL371" s="367">
        <v>106</v>
      </c>
      <c r="AM371" s="365">
        <v>24</v>
      </c>
      <c r="AN371" s="127">
        <v>7.4733500000000008</v>
      </c>
      <c r="AO371" s="126">
        <f t="shared" si="29"/>
        <v>7.4340000000000002</v>
      </c>
      <c r="AP371" s="59" t="s">
        <v>93</v>
      </c>
      <c r="AQ371" s="367">
        <v>106</v>
      </c>
      <c r="AR371" s="365">
        <v>24</v>
      </c>
      <c r="AS371" s="127">
        <v>7.4733500000000008</v>
      </c>
    </row>
    <row r="372" spans="11:45" x14ac:dyDescent="0.25">
      <c r="K372" s="125"/>
      <c r="L372" s="166"/>
      <c r="M372" s="166"/>
      <c r="N372" s="166"/>
      <c r="O372" s="166"/>
      <c r="P372" s="155"/>
      <c r="Q372" s="166"/>
      <c r="R372" s="166"/>
      <c r="S372" s="166"/>
      <c r="T372" s="166"/>
      <c r="U372" s="126">
        <f t="shared" si="30"/>
        <v>7.4733500000000008</v>
      </c>
      <c r="V372" s="159" t="s">
        <v>242</v>
      </c>
      <c r="W372" s="367">
        <v>94.5</v>
      </c>
      <c r="X372" s="365">
        <v>30</v>
      </c>
      <c r="Y372" s="162">
        <v>7.508799999999999</v>
      </c>
      <c r="Z372" s="126">
        <f t="shared" si="31"/>
        <v>7.4733500000000008</v>
      </c>
      <c r="AA372" s="159" t="s">
        <v>242</v>
      </c>
      <c r="AB372" s="367">
        <v>94.5</v>
      </c>
      <c r="AC372" s="365">
        <v>30</v>
      </c>
      <c r="AD372" s="162">
        <v>7.508799999999999</v>
      </c>
      <c r="AE372" s="122">
        <f t="shared" si="27"/>
        <v>7.4733500000000008</v>
      </c>
      <c r="AF372" s="159" t="s">
        <v>242</v>
      </c>
      <c r="AG372" s="367">
        <v>94.5</v>
      </c>
      <c r="AH372" s="365">
        <v>30</v>
      </c>
      <c r="AI372" s="162">
        <v>7.508799999999999</v>
      </c>
      <c r="AJ372" s="126">
        <f t="shared" si="28"/>
        <v>7.4733500000000008</v>
      </c>
      <c r="AK372" s="159" t="s">
        <v>242</v>
      </c>
      <c r="AL372" s="367">
        <v>94.5</v>
      </c>
      <c r="AM372" s="365">
        <v>30</v>
      </c>
      <c r="AN372" s="162">
        <v>7.508799999999999</v>
      </c>
      <c r="AO372" s="126">
        <f t="shared" si="29"/>
        <v>7.4733500000000008</v>
      </c>
      <c r="AP372" s="159" t="s">
        <v>242</v>
      </c>
      <c r="AQ372" s="367">
        <v>94.5</v>
      </c>
      <c r="AR372" s="365">
        <v>30</v>
      </c>
      <c r="AS372" s="162">
        <v>7.508799999999999</v>
      </c>
    </row>
    <row r="373" spans="11:45" x14ac:dyDescent="0.25">
      <c r="K373" s="161"/>
      <c r="L373" s="166"/>
      <c r="M373" s="166"/>
      <c r="N373" s="166"/>
      <c r="O373" s="166"/>
      <c r="P373" s="155"/>
      <c r="Q373" s="166"/>
      <c r="R373" s="166"/>
      <c r="S373" s="166"/>
      <c r="T373" s="166"/>
      <c r="U373" s="154">
        <f t="shared" si="30"/>
        <v>7.508799999999999</v>
      </c>
      <c r="V373" s="59" t="s">
        <v>224</v>
      </c>
      <c r="W373" s="367">
        <v>117</v>
      </c>
      <c r="X373" s="365">
        <v>30</v>
      </c>
      <c r="Y373" s="127">
        <v>7.5825000000000005</v>
      </c>
      <c r="Z373" s="126">
        <f t="shared" si="31"/>
        <v>7.508799999999999</v>
      </c>
      <c r="AA373" s="59" t="s">
        <v>224</v>
      </c>
      <c r="AB373" s="367">
        <v>117</v>
      </c>
      <c r="AC373" s="365">
        <v>30</v>
      </c>
      <c r="AD373" s="127">
        <v>7.5825000000000005</v>
      </c>
      <c r="AE373" s="122">
        <f t="shared" si="27"/>
        <v>7.508799999999999</v>
      </c>
      <c r="AF373" s="59" t="s">
        <v>224</v>
      </c>
      <c r="AG373" s="367">
        <v>117</v>
      </c>
      <c r="AH373" s="365">
        <v>30</v>
      </c>
      <c r="AI373" s="127">
        <v>7.5825000000000005</v>
      </c>
      <c r="AJ373" s="126">
        <f t="shared" si="28"/>
        <v>7.508799999999999</v>
      </c>
      <c r="AK373" s="59" t="s">
        <v>224</v>
      </c>
      <c r="AL373" s="367">
        <v>117</v>
      </c>
      <c r="AM373" s="365">
        <v>30</v>
      </c>
      <c r="AN373" s="127">
        <v>7.5825000000000005</v>
      </c>
      <c r="AO373" s="126">
        <f t="shared" si="29"/>
        <v>7.508799999999999</v>
      </c>
      <c r="AP373" s="59" t="s">
        <v>224</v>
      </c>
      <c r="AQ373" s="367">
        <v>117</v>
      </c>
      <c r="AR373" s="365">
        <v>30</v>
      </c>
      <c r="AS373" s="127">
        <v>7.5825000000000005</v>
      </c>
    </row>
    <row r="374" spans="11:45" x14ac:dyDescent="0.25">
      <c r="K374" s="125"/>
      <c r="L374" s="166"/>
      <c r="M374" s="166"/>
      <c r="N374" s="166"/>
      <c r="O374" s="166"/>
      <c r="P374" s="155"/>
      <c r="Q374" s="166"/>
      <c r="R374" s="166"/>
      <c r="S374" s="166"/>
      <c r="T374" s="166"/>
      <c r="U374" s="154">
        <f t="shared" si="30"/>
        <v>7.5825000000000005</v>
      </c>
      <c r="V374" s="59" t="s">
        <v>96</v>
      </c>
      <c r="W374" s="367">
        <v>117</v>
      </c>
      <c r="X374" s="365">
        <v>30</v>
      </c>
      <c r="Y374" s="127">
        <v>7.7272999999999996</v>
      </c>
      <c r="Z374" s="126">
        <f t="shared" si="31"/>
        <v>7.5825000000000005</v>
      </c>
      <c r="AA374" s="59" t="s">
        <v>96</v>
      </c>
      <c r="AB374" s="367">
        <v>117</v>
      </c>
      <c r="AC374" s="365">
        <v>30</v>
      </c>
      <c r="AD374" s="127">
        <v>7.7272999999999996</v>
      </c>
      <c r="AE374" s="122">
        <f t="shared" si="27"/>
        <v>7.5825000000000005</v>
      </c>
      <c r="AF374" s="59" t="s">
        <v>96</v>
      </c>
      <c r="AG374" s="367">
        <v>117</v>
      </c>
      <c r="AH374" s="365">
        <v>30</v>
      </c>
      <c r="AI374" s="127">
        <v>7.7272999999999996</v>
      </c>
      <c r="AJ374" s="126">
        <f t="shared" si="28"/>
        <v>7.5825000000000005</v>
      </c>
      <c r="AK374" s="59" t="s">
        <v>96</v>
      </c>
      <c r="AL374" s="367">
        <v>117</v>
      </c>
      <c r="AM374" s="365">
        <v>30</v>
      </c>
      <c r="AN374" s="127">
        <v>7.7272999999999996</v>
      </c>
      <c r="AO374" s="126">
        <f t="shared" si="29"/>
        <v>7.5825000000000005</v>
      </c>
      <c r="AP374" s="59" t="s">
        <v>96</v>
      </c>
      <c r="AQ374" s="367">
        <v>117</v>
      </c>
      <c r="AR374" s="365">
        <v>30</v>
      </c>
      <c r="AS374" s="127">
        <v>7.7272999999999996</v>
      </c>
    </row>
    <row r="375" spans="11:45" x14ac:dyDescent="0.25">
      <c r="K375" s="125"/>
      <c r="L375" s="166"/>
      <c r="M375" s="166"/>
      <c r="N375" s="166"/>
      <c r="O375" s="166"/>
      <c r="P375" s="155"/>
      <c r="Q375" s="166"/>
      <c r="R375" s="166"/>
      <c r="S375" s="166"/>
      <c r="T375" s="166"/>
      <c r="U375" s="154">
        <f t="shared" si="30"/>
        <v>7.7272999999999996</v>
      </c>
      <c r="V375" s="123" t="s">
        <v>160</v>
      </c>
      <c r="W375" s="368">
        <v>163</v>
      </c>
      <c r="X375" s="365">
        <v>24</v>
      </c>
      <c r="Y375" s="127">
        <v>7.7460999999999993</v>
      </c>
      <c r="Z375" s="126">
        <f t="shared" si="31"/>
        <v>7.7272999999999996</v>
      </c>
      <c r="AA375" s="123" t="s">
        <v>160</v>
      </c>
      <c r="AB375" s="368">
        <v>163</v>
      </c>
      <c r="AC375" s="365">
        <v>24</v>
      </c>
      <c r="AD375" s="127">
        <v>7.7460999999999993</v>
      </c>
      <c r="AE375" s="122">
        <f t="shared" si="27"/>
        <v>7.7272999999999996</v>
      </c>
      <c r="AF375" s="123" t="s">
        <v>160</v>
      </c>
      <c r="AG375" s="368">
        <v>163</v>
      </c>
      <c r="AH375" s="365">
        <v>24</v>
      </c>
      <c r="AI375" s="127">
        <v>7.7460999999999993</v>
      </c>
      <c r="AJ375" s="126">
        <f t="shared" si="28"/>
        <v>7.7272999999999996</v>
      </c>
      <c r="AK375" s="123" t="s">
        <v>160</v>
      </c>
      <c r="AL375" s="368">
        <v>163</v>
      </c>
      <c r="AM375" s="365">
        <v>24</v>
      </c>
      <c r="AN375" s="127">
        <v>7.7460999999999993</v>
      </c>
      <c r="AO375" s="126">
        <f t="shared" si="29"/>
        <v>7.7272999999999996</v>
      </c>
      <c r="AP375" s="123" t="s">
        <v>160</v>
      </c>
      <c r="AQ375" s="368">
        <v>163</v>
      </c>
      <c r="AR375" s="365">
        <v>24</v>
      </c>
      <c r="AS375" s="127">
        <v>7.7460999999999993</v>
      </c>
    </row>
    <row r="376" spans="11:45" x14ac:dyDescent="0.25">
      <c r="K376" s="125"/>
      <c r="L376" s="166"/>
      <c r="M376" s="166"/>
      <c r="N376" s="166"/>
      <c r="O376" s="166"/>
      <c r="P376" s="155"/>
      <c r="Q376" s="166"/>
      <c r="R376" s="166"/>
      <c r="S376" s="166"/>
      <c r="T376" s="166"/>
      <c r="U376" s="154">
        <f t="shared" si="30"/>
        <v>7.7460999999999993</v>
      </c>
      <c r="V376" s="59" t="s">
        <v>99</v>
      </c>
      <c r="W376" s="367">
        <v>131</v>
      </c>
      <c r="X376" s="365">
        <v>30</v>
      </c>
      <c r="Y376" s="127">
        <v>7.7489999999999997</v>
      </c>
      <c r="Z376" s="126">
        <f t="shared" si="31"/>
        <v>7.7460999999999993</v>
      </c>
      <c r="AA376" s="59" t="s">
        <v>99</v>
      </c>
      <c r="AB376" s="367">
        <v>131</v>
      </c>
      <c r="AC376" s="365">
        <v>30</v>
      </c>
      <c r="AD376" s="127">
        <v>7.7489999999999997</v>
      </c>
      <c r="AE376" s="122">
        <f t="shared" si="27"/>
        <v>7.7460999999999993</v>
      </c>
      <c r="AF376" s="59" t="s">
        <v>99</v>
      </c>
      <c r="AG376" s="367">
        <v>131</v>
      </c>
      <c r="AH376" s="365">
        <v>30</v>
      </c>
      <c r="AI376" s="127">
        <v>7.7489999999999997</v>
      </c>
      <c r="AJ376" s="126">
        <f t="shared" si="28"/>
        <v>7.7460999999999993</v>
      </c>
      <c r="AK376" s="123" t="s">
        <v>158</v>
      </c>
      <c r="AL376" s="368">
        <v>131</v>
      </c>
      <c r="AM376" s="365">
        <v>24</v>
      </c>
      <c r="AN376" s="127">
        <v>7.7489999999999997</v>
      </c>
      <c r="AO376" s="126">
        <f t="shared" si="29"/>
        <v>7.7460999999999993</v>
      </c>
      <c r="AP376" s="123" t="s">
        <v>158</v>
      </c>
      <c r="AQ376" s="368">
        <v>131</v>
      </c>
      <c r="AR376" s="365">
        <v>24</v>
      </c>
      <c r="AS376" s="127">
        <v>7.7489999999999997</v>
      </c>
    </row>
    <row r="377" spans="11:45" x14ac:dyDescent="0.25">
      <c r="K377" s="125"/>
      <c r="L377" s="166"/>
      <c r="M377" s="166"/>
      <c r="N377" s="166"/>
      <c r="O377" s="166"/>
      <c r="P377" s="155"/>
      <c r="Q377" s="166"/>
      <c r="R377" s="166"/>
      <c r="S377" s="166"/>
      <c r="T377" s="166"/>
      <c r="U377" s="154">
        <f t="shared" si="30"/>
        <v>7.7489999999999997</v>
      </c>
      <c r="V377" s="59" t="s">
        <v>216</v>
      </c>
      <c r="W377" s="367">
        <v>155</v>
      </c>
      <c r="X377" s="365">
        <v>30</v>
      </c>
      <c r="Y377" s="127">
        <v>7.875</v>
      </c>
      <c r="Z377" s="126">
        <f t="shared" si="31"/>
        <v>7.7489999999999997</v>
      </c>
      <c r="AA377" s="59" t="s">
        <v>216</v>
      </c>
      <c r="AB377" s="367">
        <v>155</v>
      </c>
      <c r="AC377" s="365">
        <v>30</v>
      </c>
      <c r="AD377" s="127">
        <v>7.875</v>
      </c>
      <c r="AE377" s="122">
        <f t="shared" si="27"/>
        <v>7.7489999999999997</v>
      </c>
      <c r="AF377" s="59" t="s">
        <v>216</v>
      </c>
      <c r="AG377" s="367">
        <v>155</v>
      </c>
      <c r="AH377" s="365">
        <v>30</v>
      </c>
      <c r="AI377" s="127">
        <v>7.875</v>
      </c>
      <c r="AJ377" s="126">
        <f t="shared" si="28"/>
        <v>7.7489999999999997</v>
      </c>
      <c r="AK377" s="59" t="s">
        <v>216</v>
      </c>
      <c r="AL377" s="367">
        <v>155</v>
      </c>
      <c r="AM377" s="365">
        <v>30</v>
      </c>
      <c r="AN377" s="127">
        <v>7.875</v>
      </c>
      <c r="AO377" s="126">
        <f t="shared" si="29"/>
        <v>7.7489999999999997</v>
      </c>
      <c r="AP377" s="59" t="s">
        <v>216</v>
      </c>
      <c r="AQ377" s="367">
        <v>155</v>
      </c>
      <c r="AR377" s="365">
        <v>30</v>
      </c>
      <c r="AS377" s="127">
        <v>7.875</v>
      </c>
    </row>
    <row r="378" spans="11:45" x14ac:dyDescent="0.25">
      <c r="K378" s="125"/>
      <c r="L378" s="166"/>
      <c r="M378" s="166"/>
      <c r="N378" s="166"/>
      <c r="O378" s="166"/>
      <c r="P378" s="155"/>
      <c r="Q378" s="166"/>
      <c r="R378" s="166"/>
      <c r="S378" s="166"/>
      <c r="T378" s="166"/>
      <c r="U378" s="154">
        <f t="shared" si="30"/>
        <v>7.875</v>
      </c>
      <c r="V378" s="159" t="s">
        <v>244</v>
      </c>
      <c r="W378" s="367">
        <v>127</v>
      </c>
      <c r="X378" s="365">
        <v>30</v>
      </c>
      <c r="Y378" s="162">
        <v>7.9039999999999999</v>
      </c>
      <c r="Z378" s="126">
        <f t="shared" si="31"/>
        <v>7.875</v>
      </c>
      <c r="AA378" s="159" t="s">
        <v>244</v>
      </c>
      <c r="AB378" s="367">
        <v>127</v>
      </c>
      <c r="AC378" s="365">
        <v>30</v>
      </c>
      <c r="AD378" s="162">
        <v>7.9039999999999999</v>
      </c>
      <c r="AE378" s="122">
        <f t="shared" si="27"/>
        <v>7.875</v>
      </c>
      <c r="AF378" s="159" t="s">
        <v>244</v>
      </c>
      <c r="AG378" s="367">
        <v>127</v>
      </c>
      <c r="AH378" s="365">
        <v>30</v>
      </c>
      <c r="AI378" s="162">
        <v>7.9039999999999999</v>
      </c>
      <c r="AJ378" s="126">
        <f t="shared" si="28"/>
        <v>7.875</v>
      </c>
      <c r="AK378" s="159" t="s">
        <v>244</v>
      </c>
      <c r="AL378" s="367">
        <v>127</v>
      </c>
      <c r="AM378" s="365">
        <v>30</v>
      </c>
      <c r="AN378" s="162">
        <v>7.9039999999999999</v>
      </c>
      <c r="AO378" s="126">
        <f t="shared" si="29"/>
        <v>7.875</v>
      </c>
      <c r="AP378" s="159" t="s">
        <v>244</v>
      </c>
      <c r="AQ378" s="367">
        <v>127</v>
      </c>
      <c r="AR378" s="365">
        <v>30</v>
      </c>
      <c r="AS378" s="162">
        <v>7.9039999999999999</v>
      </c>
    </row>
    <row r="379" spans="11:45" x14ac:dyDescent="0.25">
      <c r="K379" s="125"/>
      <c r="L379" s="166"/>
      <c r="M379" s="166"/>
      <c r="N379" s="166"/>
      <c r="O379" s="166"/>
      <c r="P379" s="155"/>
      <c r="Q379" s="166"/>
      <c r="R379" s="166"/>
      <c r="S379" s="166"/>
      <c r="T379" s="166"/>
      <c r="U379" s="154">
        <f t="shared" si="30"/>
        <v>7.9039999999999999</v>
      </c>
      <c r="V379" s="159" t="s">
        <v>243</v>
      </c>
      <c r="W379" s="367">
        <v>111</v>
      </c>
      <c r="X379" s="365">
        <v>30</v>
      </c>
      <c r="Y379" s="162">
        <v>8.0028000000000006</v>
      </c>
      <c r="Z379" s="126">
        <f t="shared" si="31"/>
        <v>7.9039999999999999</v>
      </c>
      <c r="AA379" s="159" t="s">
        <v>243</v>
      </c>
      <c r="AB379" s="367">
        <v>111</v>
      </c>
      <c r="AC379" s="365">
        <v>30</v>
      </c>
      <c r="AD379" s="162">
        <v>8.0028000000000006</v>
      </c>
      <c r="AE379" s="122">
        <f t="shared" si="27"/>
        <v>7.9039999999999999</v>
      </c>
      <c r="AF379" s="159" t="s">
        <v>243</v>
      </c>
      <c r="AG379" s="367">
        <v>111</v>
      </c>
      <c r="AH379" s="365">
        <v>30</v>
      </c>
      <c r="AI379" s="162">
        <v>8.0028000000000006</v>
      </c>
      <c r="AJ379" s="126">
        <f t="shared" si="28"/>
        <v>7.9039999999999999</v>
      </c>
      <c r="AK379" s="159" t="s">
        <v>243</v>
      </c>
      <c r="AL379" s="367">
        <v>111</v>
      </c>
      <c r="AM379" s="365">
        <v>30</v>
      </c>
      <c r="AN379" s="162">
        <v>8.0028000000000006</v>
      </c>
      <c r="AO379" s="126">
        <f t="shared" si="29"/>
        <v>7.9039999999999999</v>
      </c>
      <c r="AP379" s="159" t="s">
        <v>243</v>
      </c>
      <c r="AQ379" s="367">
        <v>111</v>
      </c>
      <c r="AR379" s="365">
        <v>30</v>
      </c>
      <c r="AS379" s="162">
        <v>8.0028000000000006</v>
      </c>
    </row>
    <row r="380" spans="11:45" x14ac:dyDescent="0.25">
      <c r="K380" s="161"/>
      <c r="L380" s="166"/>
      <c r="M380" s="166"/>
      <c r="N380" s="166"/>
      <c r="O380" s="166"/>
      <c r="P380" s="155"/>
      <c r="Q380" s="166"/>
      <c r="R380" s="166"/>
      <c r="S380" s="166"/>
      <c r="T380" s="166"/>
      <c r="U380" s="154">
        <f t="shared" si="30"/>
        <v>8.0028000000000006</v>
      </c>
      <c r="V380" s="59" t="s">
        <v>227</v>
      </c>
      <c r="W380" s="367">
        <v>166</v>
      </c>
      <c r="X380" s="365">
        <v>30</v>
      </c>
      <c r="Y380" s="127">
        <v>8.088000000000001</v>
      </c>
      <c r="Z380" s="126">
        <f t="shared" si="31"/>
        <v>8.0028000000000006</v>
      </c>
      <c r="AA380" s="59" t="s">
        <v>227</v>
      </c>
      <c r="AB380" s="367">
        <v>166</v>
      </c>
      <c r="AC380" s="365">
        <v>30</v>
      </c>
      <c r="AD380" s="127">
        <v>8.088000000000001</v>
      </c>
      <c r="AE380" s="122">
        <f t="shared" si="27"/>
        <v>8.0028000000000006</v>
      </c>
      <c r="AF380" s="59" t="s">
        <v>227</v>
      </c>
      <c r="AG380" s="367">
        <v>166</v>
      </c>
      <c r="AH380" s="365">
        <v>30</v>
      </c>
      <c r="AI380" s="127">
        <v>8.088000000000001</v>
      </c>
      <c r="AJ380" s="126">
        <f t="shared" si="28"/>
        <v>8.0028000000000006</v>
      </c>
      <c r="AK380" s="59" t="s">
        <v>227</v>
      </c>
      <c r="AL380" s="367">
        <v>166</v>
      </c>
      <c r="AM380" s="365">
        <v>30</v>
      </c>
      <c r="AN380" s="127">
        <v>8.088000000000001</v>
      </c>
      <c r="AO380" s="126">
        <f t="shared" si="29"/>
        <v>8.0028000000000006</v>
      </c>
      <c r="AP380" s="59" t="s">
        <v>227</v>
      </c>
      <c r="AQ380" s="367">
        <v>166</v>
      </c>
      <c r="AR380" s="365">
        <v>30</v>
      </c>
      <c r="AS380" s="127">
        <v>8.088000000000001</v>
      </c>
    </row>
    <row r="381" spans="11:45" x14ac:dyDescent="0.25">
      <c r="K381" s="125"/>
      <c r="L381" s="166"/>
      <c r="M381" s="166"/>
      <c r="N381" s="166"/>
      <c r="O381" s="166"/>
      <c r="P381" s="155"/>
      <c r="Q381" s="166"/>
      <c r="R381" s="166"/>
      <c r="S381" s="166"/>
      <c r="T381" s="166"/>
      <c r="U381" s="154">
        <f t="shared" si="30"/>
        <v>8.088000000000001</v>
      </c>
      <c r="V381" s="59" t="s">
        <v>187</v>
      </c>
      <c r="W381" s="367">
        <v>209</v>
      </c>
      <c r="X381" s="365">
        <v>30</v>
      </c>
      <c r="Y381" s="127">
        <v>8.1270000000000007</v>
      </c>
      <c r="Z381" s="126">
        <f t="shared" si="31"/>
        <v>8.088000000000001</v>
      </c>
      <c r="AA381" s="59" t="s">
        <v>187</v>
      </c>
      <c r="AB381" s="367">
        <v>209</v>
      </c>
      <c r="AC381" s="365">
        <v>30</v>
      </c>
      <c r="AD381" s="127">
        <v>8.1270000000000007</v>
      </c>
      <c r="AE381" s="122">
        <f t="shared" si="27"/>
        <v>8.088000000000001</v>
      </c>
      <c r="AF381" s="59" t="s">
        <v>187</v>
      </c>
      <c r="AG381" s="367">
        <v>209</v>
      </c>
      <c r="AH381" s="365">
        <v>30</v>
      </c>
      <c r="AI381" s="127">
        <v>8.1270000000000007</v>
      </c>
      <c r="AJ381" s="126">
        <f t="shared" si="28"/>
        <v>8.088000000000001</v>
      </c>
      <c r="AK381" s="59" t="s">
        <v>187</v>
      </c>
      <c r="AL381" s="367">
        <v>209</v>
      </c>
      <c r="AM381" s="365">
        <v>30</v>
      </c>
      <c r="AN381" s="127">
        <v>8.1270000000000007</v>
      </c>
      <c r="AO381" s="126">
        <f t="shared" si="29"/>
        <v>8.088000000000001</v>
      </c>
      <c r="AP381" s="59" t="s">
        <v>187</v>
      </c>
      <c r="AQ381" s="367">
        <v>209</v>
      </c>
      <c r="AR381" s="365">
        <v>30</v>
      </c>
      <c r="AS381" s="127">
        <v>8.1270000000000007</v>
      </c>
    </row>
    <row r="382" spans="11:45" x14ac:dyDescent="0.25">
      <c r="K382" s="125"/>
      <c r="L382" s="166"/>
      <c r="M382" s="166"/>
      <c r="N382" s="166"/>
      <c r="O382" s="166"/>
      <c r="P382" s="155"/>
      <c r="Q382" s="166"/>
      <c r="R382" s="166"/>
      <c r="S382" s="166"/>
      <c r="T382" s="166"/>
      <c r="U382" s="154">
        <f t="shared" si="30"/>
        <v>8.1270000000000007</v>
      </c>
      <c r="V382" s="59" t="s">
        <v>225</v>
      </c>
      <c r="W382" s="367">
        <v>127</v>
      </c>
      <c r="X382" s="365">
        <v>30</v>
      </c>
      <c r="Y382" s="127">
        <v>8.3407499999999981</v>
      </c>
      <c r="Z382" s="126">
        <f t="shared" si="31"/>
        <v>8.1270000000000007</v>
      </c>
      <c r="AA382" s="59" t="s">
        <v>225</v>
      </c>
      <c r="AB382" s="367">
        <v>127</v>
      </c>
      <c r="AC382" s="365">
        <v>30</v>
      </c>
      <c r="AD382" s="127">
        <v>8.3407499999999981</v>
      </c>
      <c r="AE382" s="122">
        <f t="shared" si="27"/>
        <v>8.1270000000000007</v>
      </c>
      <c r="AF382" s="59" t="s">
        <v>225</v>
      </c>
      <c r="AG382" s="367">
        <v>127</v>
      </c>
      <c r="AH382" s="365">
        <v>30</v>
      </c>
      <c r="AI382" s="127">
        <v>8.3407499999999981</v>
      </c>
      <c r="AJ382" s="126">
        <f t="shared" si="28"/>
        <v>8.1270000000000007</v>
      </c>
      <c r="AK382" s="59" t="s">
        <v>225</v>
      </c>
      <c r="AL382" s="367">
        <v>127</v>
      </c>
      <c r="AM382" s="365">
        <v>30</v>
      </c>
      <c r="AN382" s="127">
        <v>8.3407499999999981</v>
      </c>
      <c r="AO382" s="126">
        <f t="shared" si="29"/>
        <v>8.1270000000000007</v>
      </c>
      <c r="AP382" s="59" t="s">
        <v>225</v>
      </c>
      <c r="AQ382" s="367">
        <v>127</v>
      </c>
      <c r="AR382" s="365">
        <v>30</v>
      </c>
      <c r="AS382" s="127">
        <v>8.3407499999999981</v>
      </c>
    </row>
    <row r="383" spans="11:45" x14ac:dyDescent="0.25">
      <c r="K383" s="125"/>
      <c r="L383" s="166"/>
      <c r="M383" s="166"/>
      <c r="N383" s="166"/>
      <c r="O383" s="166"/>
      <c r="P383" s="155"/>
      <c r="Q383" s="166"/>
      <c r="R383" s="166"/>
      <c r="S383" s="166"/>
      <c r="T383" s="166"/>
      <c r="U383" s="154">
        <f t="shared" si="30"/>
        <v>8.3407499999999981</v>
      </c>
      <c r="V383" s="159" t="s">
        <v>245</v>
      </c>
      <c r="W383" s="367">
        <v>140</v>
      </c>
      <c r="X383" s="365">
        <v>30</v>
      </c>
      <c r="Y383" s="162">
        <v>8.4967999999999986</v>
      </c>
      <c r="Z383" s="126">
        <f t="shared" si="31"/>
        <v>8.3407499999999981</v>
      </c>
      <c r="AA383" s="159" t="s">
        <v>245</v>
      </c>
      <c r="AB383" s="367">
        <v>140</v>
      </c>
      <c r="AC383" s="365">
        <v>30</v>
      </c>
      <c r="AD383" s="162">
        <v>8.4967999999999986</v>
      </c>
      <c r="AE383" s="122">
        <f t="shared" si="27"/>
        <v>8.3407499999999981</v>
      </c>
      <c r="AF383" s="159" t="s">
        <v>245</v>
      </c>
      <c r="AG383" s="367">
        <v>140</v>
      </c>
      <c r="AH383" s="365">
        <v>30</v>
      </c>
      <c r="AI383" s="162">
        <v>8.4967999999999986</v>
      </c>
      <c r="AJ383" s="126">
        <f t="shared" si="28"/>
        <v>8.3407499999999981</v>
      </c>
      <c r="AK383" s="159" t="s">
        <v>245</v>
      </c>
      <c r="AL383" s="367">
        <v>140</v>
      </c>
      <c r="AM383" s="365">
        <v>30</v>
      </c>
      <c r="AN383" s="162">
        <v>8.4967999999999986</v>
      </c>
      <c r="AO383" s="126">
        <f t="shared" si="29"/>
        <v>8.3407499999999981</v>
      </c>
      <c r="AP383" s="159" t="s">
        <v>245</v>
      </c>
      <c r="AQ383" s="367">
        <v>140</v>
      </c>
      <c r="AR383" s="365">
        <v>30</v>
      </c>
      <c r="AS383" s="162">
        <v>8.4967999999999986</v>
      </c>
    </row>
    <row r="384" spans="11:45" x14ac:dyDescent="0.25">
      <c r="K384" s="125"/>
      <c r="L384" s="166"/>
      <c r="M384" s="166"/>
      <c r="N384" s="166"/>
      <c r="O384" s="166"/>
      <c r="P384" s="155"/>
      <c r="Q384" s="166"/>
      <c r="R384" s="166"/>
      <c r="S384" s="166"/>
      <c r="T384" s="166"/>
      <c r="U384" s="154">
        <f t="shared" si="30"/>
        <v>8.4967999999999986</v>
      </c>
      <c r="V384" s="59" t="s">
        <v>188</v>
      </c>
      <c r="W384" s="367">
        <v>232</v>
      </c>
      <c r="X384" s="365">
        <v>30</v>
      </c>
      <c r="Y384" s="127">
        <v>8.5679999999999996</v>
      </c>
      <c r="Z384" s="126">
        <f t="shared" si="31"/>
        <v>8.4967999999999986</v>
      </c>
      <c r="AA384" s="59" t="s">
        <v>188</v>
      </c>
      <c r="AB384" s="367">
        <v>232</v>
      </c>
      <c r="AC384" s="365">
        <v>30</v>
      </c>
      <c r="AD384" s="127">
        <v>8.5679999999999996</v>
      </c>
      <c r="AE384" s="122">
        <f t="shared" si="27"/>
        <v>8.4967999999999986</v>
      </c>
      <c r="AF384" s="59" t="s">
        <v>188</v>
      </c>
      <c r="AG384" s="367">
        <v>232</v>
      </c>
      <c r="AH384" s="365">
        <v>30</v>
      </c>
      <c r="AI384" s="127">
        <v>8.5679999999999996</v>
      </c>
      <c r="AJ384" s="126">
        <f t="shared" si="28"/>
        <v>8.4967999999999986</v>
      </c>
      <c r="AK384" s="59" t="s">
        <v>188</v>
      </c>
      <c r="AL384" s="367">
        <v>232</v>
      </c>
      <c r="AM384" s="365">
        <v>30</v>
      </c>
      <c r="AN384" s="127">
        <v>8.5679999999999996</v>
      </c>
      <c r="AO384" s="126">
        <f t="shared" si="29"/>
        <v>8.4967999999999986</v>
      </c>
      <c r="AP384" s="59" t="s">
        <v>188</v>
      </c>
      <c r="AQ384" s="367">
        <v>232</v>
      </c>
      <c r="AR384" s="365">
        <v>30</v>
      </c>
      <c r="AS384" s="127">
        <v>8.5679999999999996</v>
      </c>
    </row>
    <row r="385" spans="11:45" x14ac:dyDescent="0.25">
      <c r="K385" s="125"/>
      <c r="L385" s="166"/>
      <c r="M385" s="166"/>
      <c r="N385" s="166"/>
      <c r="O385" s="166"/>
      <c r="P385" s="155"/>
      <c r="Q385" s="166"/>
      <c r="R385" s="166"/>
      <c r="S385" s="166"/>
      <c r="T385" s="166"/>
      <c r="U385" s="154">
        <f t="shared" si="30"/>
        <v>8.5679999999999996</v>
      </c>
      <c r="V385" s="123" t="s">
        <v>161</v>
      </c>
      <c r="W385" s="368">
        <v>186</v>
      </c>
      <c r="X385" s="365">
        <v>30</v>
      </c>
      <c r="Y385" s="127">
        <v>8.6189</v>
      </c>
      <c r="Z385" s="126">
        <f t="shared" si="31"/>
        <v>8.5679999999999996</v>
      </c>
      <c r="AA385" s="123" t="s">
        <v>161</v>
      </c>
      <c r="AB385" s="368">
        <v>186</v>
      </c>
      <c r="AC385" s="365">
        <v>30</v>
      </c>
      <c r="AD385" s="127">
        <v>8.6189</v>
      </c>
      <c r="AE385" s="122">
        <f t="shared" si="27"/>
        <v>8.5679999999999996</v>
      </c>
      <c r="AF385" s="123" t="s">
        <v>161</v>
      </c>
      <c r="AG385" s="368">
        <v>186</v>
      </c>
      <c r="AH385" s="365">
        <v>30</v>
      </c>
      <c r="AI385" s="127">
        <v>8.6189</v>
      </c>
      <c r="AJ385" s="126">
        <f t="shared" si="28"/>
        <v>8.5679999999999996</v>
      </c>
      <c r="AK385" s="123" t="s">
        <v>161</v>
      </c>
      <c r="AL385" s="368">
        <v>186</v>
      </c>
      <c r="AM385" s="365">
        <v>30</v>
      </c>
      <c r="AN385" s="127">
        <v>8.6189</v>
      </c>
      <c r="AO385" s="126">
        <f t="shared" si="29"/>
        <v>8.5679999999999996</v>
      </c>
      <c r="AP385" s="123" t="s">
        <v>161</v>
      </c>
      <c r="AQ385" s="368">
        <v>186</v>
      </c>
      <c r="AR385" s="365">
        <v>30</v>
      </c>
      <c r="AS385" s="127">
        <v>8.6189</v>
      </c>
    </row>
    <row r="386" spans="11:45" x14ac:dyDescent="0.25">
      <c r="K386" s="125"/>
      <c r="L386" s="166"/>
      <c r="M386" s="166"/>
      <c r="N386" s="166"/>
      <c r="O386" s="166"/>
      <c r="P386" s="155"/>
      <c r="Q386" s="166"/>
      <c r="R386" s="166"/>
      <c r="S386" s="166"/>
      <c r="T386" s="166"/>
      <c r="U386" s="154">
        <f t="shared" si="30"/>
        <v>8.6189</v>
      </c>
      <c r="V386" s="59" t="s">
        <v>217</v>
      </c>
      <c r="W386" s="367">
        <v>175</v>
      </c>
      <c r="X386" s="365">
        <v>30</v>
      </c>
      <c r="Y386" s="127">
        <v>8.7749999999999986</v>
      </c>
      <c r="Z386" s="126">
        <f t="shared" si="31"/>
        <v>8.6189</v>
      </c>
      <c r="AA386" s="59" t="s">
        <v>217</v>
      </c>
      <c r="AB386" s="367">
        <v>175</v>
      </c>
      <c r="AC386" s="365">
        <v>30</v>
      </c>
      <c r="AD386" s="127">
        <v>8.7749999999999986</v>
      </c>
      <c r="AE386" s="122">
        <f t="shared" si="27"/>
        <v>8.6189</v>
      </c>
      <c r="AF386" s="59" t="s">
        <v>217</v>
      </c>
      <c r="AG386" s="367">
        <v>175</v>
      </c>
      <c r="AH386" s="365">
        <v>30</v>
      </c>
      <c r="AI386" s="127">
        <v>8.7749999999999986</v>
      </c>
      <c r="AJ386" s="126">
        <f t="shared" si="28"/>
        <v>8.6189</v>
      </c>
      <c r="AK386" s="59" t="s">
        <v>217</v>
      </c>
      <c r="AL386" s="367">
        <v>175</v>
      </c>
      <c r="AM386" s="365">
        <v>30</v>
      </c>
      <c r="AN386" s="127">
        <v>8.7749999999999986</v>
      </c>
      <c r="AO386" s="126">
        <f t="shared" si="29"/>
        <v>8.6189</v>
      </c>
      <c r="AP386" s="59" t="s">
        <v>217</v>
      </c>
      <c r="AQ386" s="367">
        <v>175</v>
      </c>
      <c r="AR386" s="365">
        <v>30</v>
      </c>
      <c r="AS386" s="127">
        <v>8.7749999999999986</v>
      </c>
    </row>
    <row r="387" spans="11:45" x14ac:dyDescent="0.25">
      <c r="K387" s="125"/>
      <c r="L387" s="166"/>
      <c r="M387" s="166"/>
      <c r="N387" s="166"/>
      <c r="O387" s="166"/>
      <c r="P387" s="155"/>
      <c r="Q387" s="166"/>
      <c r="R387" s="166"/>
      <c r="S387" s="166"/>
      <c r="T387" s="166"/>
      <c r="U387" s="154">
        <f t="shared" si="30"/>
        <v>8.7749999999999986</v>
      </c>
      <c r="V387" s="123" t="s">
        <v>100</v>
      </c>
      <c r="W387" s="367">
        <v>150</v>
      </c>
      <c r="X387" s="365">
        <v>30</v>
      </c>
      <c r="Y387" s="127">
        <v>8.8829999999999991</v>
      </c>
      <c r="Z387" s="126">
        <f t="shared" si="31"/>
        <v>8.7749999999999986</v>
      </c>
      <c r="AA387" s="123" t="s">
        <v>100</v>
      </c>
      <c r="AB387" s="367">
        <v>150</v>
      </c>
      <c r="AC387" s="365">
        <v>30</v>
      </c>
      <c r="AD387" s="127">
        <v>8.8829999999999991</v>
      </c>
      <c r="AE387" s="122">
        <f t="shared" si="27"/>
        <v>8.7749999999999986</v>
      </c>
      <c r="AF387" s="123" t="s">
        <v>100</v>
      </c>
      <c r="AG387" s="367">
        <v>150</v>
      </c>
      <c r="AH387" s="365">
        <v>30</v>
      </c>
      <c r="AI387" s="127">
        <v>8.8829999999999991</v>
      </c>
      <c r="AJ387" s="126">
        <f t="shared" si="28"/>
        <v>8.7749999999999986</v>
      </c>
      <c r="AK387" s="123" t="s">
        <v>100</v>
      </c>
      <c r="AL387" s="367">
        <v>150</v>
      </c>
      <c r="AM387" s="365">
        <v>30</v>
      </c>
      <c r="AN387" s="127">
        <v>8.8829999999999991</v>
      </c>
      <c r="AO387" s="126">
        <f t="shared" si="29"/>
        <v>8.7749999999999986</v>
      </c>
      <c r="AP387" s="123" t="s">
        <v>100</v>
      </c>
      <c r="AQ387" s="367">
        <v>150</v>
      </c>
      <c r="AR387" s="365">
        <v>30</v>
      </c>
      <c r="AS387" s="127">
        <v>8.8829999999999991</v>
      </c>
    </row>
    <row r="388" spans="11:45" x14ac:dyDescent="0.25">
      <c r="K388" s="125"/>
      <c r="L388" s="166"/>
      <c r="M388" s="166"/>
      <c r="N388" s="166"/>
      <c r="O388" s="166"/>
      <c r="P388" s="155"/>
      <c r="Q388" s="166"/>
      <c r="R388" s="166"/>
      <c r="S388" s="166"/>
      <c r="T388" s="166"/>
      <c r="U388" s="154">
        <f t="shared" si="30"/>
        <v>8.8829999999999991</v>
      </c>
      <c r="V388" s="123" t="s">
        <v>97</v>
      </c>
      <c r="W388" s="367">
        <v>135</v>
      </c>
      <c r="X388" s="365">
        <v>30</v>
      </c>
      <c r="Y388" s="127">
        <v>8.8893000000000004</v>
      </c>
      <c r="Z388" s="126">
        <f t="shared" si="31"/>
        <v>8.8829999999999991</v>
      </c>
      <c r="AA388" s="123" t="s">
        <v>97</v>
      </c>
      <c r="AB388" s="367">
        <v>135</v>
      </c>
      <c r="AC388" s="365">
        <v>30</v>
      </c>
      <c r="AD388" s="127">
        <v>8.8893000000000004</v>
      </c>
      <c r="AE388" s="122">
        <f t="shared" si="27"/>
        <v>8.8829999999999991</v>
      </c>
      <c r="AF388" s="123" t="s">
        <v>97</v>
      </c>
      <c r="AG388" s="367">
        <v>135</v>
      </c>
      <c r="AH388" s="365">
        <v>30</v>
      </c>
      <c r="AI388" s="127">
        <v>8.8893000000000004</v>
      </c>
      <c r="AJ388" s="126">
        <f t="shared" si="28"/>
        <v>8.8829999999999991</v>
      </c>
      <c r="AK388" s="123" t="s">
        <v>97</v>
      </c>
      <c r="AL388" s="367">
        <v>135</v>
      </c>
      <c r="AM388" s="365">
        <v>30</v>
      </c>
      <c r="AN388" s="127">
        <v>8.8893000000000004</v>
      </c>
      <c r="AO388" s="126">
        <f t="shared" si="29"/>
        <v>8.8829999999999991</v>
      </c>
      <c r="AP388" s="123" t="s">
        <v>97</v>
      </c>
      <c r="AQ388" s="367">
        <v>135</v>
      </c>
      <c r="AR388" s="365">
        <v>30</v>
      </c>
      <c r="AS388" s="127">
        <v>8.8893000000000004</v>
      </c>
    </row>
    <row r="389" spans="11:45" x14ac:dyDescent="0.25">
      <c r="K389" s="125"/>
      <c r="L389" s="166"/>
      <c r="M389" s="166"/>
      <c r="N389" s="166"/>
      <c r="O389" s="166"/>
      <c r="P389" s="155"/>
      <c r="Q389" s="166"/>
      <c r="R389" s="166"/>
      <c r="S389" s="166"/>
      <c r="T389" s="166"/>
      <c r="U389" s="154">
        <f t="shared" si="30"/>
        <v>8.8893000000000004</v>
      </c>
      <c r="V389" s="159" t="s">
        <v>246</v>
      </c>
      <c r="W389" s="367">
        <v>151</v>
      </c>
      <c r="X389" s="365">
        <v>30</v>
      </c>
      <c r="Y389" s="162">
        <v>8.9908000000000001</v>
      </c>
      <c r="Z389" s="126">
        <f t="shared" si="31"/>
        <v>8.8893000000000004</v>
      </c>
      <c r="AA389" s="159" t="s">
        <v>255</v>
      </c>
      <c r="AB389" s="367">
        <v>114</v>
      </c>
      <c r="AC389" s="365">
        <v>36</v>
      </c>
      <c r="AD389" s="162">
        <v>8.9111999999999991</v>
      </c>
      <c r="AE389" s="122">
        <f t="shared" si="27"/>
        <v>8.8893000000000004</v>
      </c>
      <c r="AF389" s="159" t="s">
        <v>255</v>
      </c>
      <c r="AG389" s="367">
        <v>114</v>
      </c>
      <c r="AH389" s="365">
        <v>36</v>
      </c>
      <c r="AI389" s="162">
        <v>8.9111999999999991</v>
      </c>
      <c r="AJ389" s="126">
        <f t="shared" si="28"/>
        <v>8.8893000000000004</v>
      </c>
      <c r="AK389" s="159" t="s">
        <v>255</v>
      </c>
      <c r="AL389" s="367">
        <v>114</v>
      </c>
      <c r="AM389" s="365">
        <v>36</v>
      </c>
      <c r="AN389" s="162">
        <v>8.9111999999999991</v>
      </c>
      <c r="AO389" s="126">
        <f t="shared" si="29"/>
        <v>8.8893000000000004</v>
      </c>
      <c r="AP389" s="159" t="s">
        <v>255</v>
      </c>
      <c r="AQ389" s="367">
        <v>114</v>
      </c>
      <c r="AR389" s="365">
        <v>36</v>
      </c>
      <c r="AS389" s="162">
        <v>8.9111999999999991</v>
      </c>
    </row>
    <row r="390" spans="11:45" x14ac:dyDescent="0.25">
      <c r="K390" s="125"/>
      <c r="L390" s="166"/>
      <c r="M390" s="166"/>
      <c r="N390" s="166"/>
      <c r="O390" s="166"/>
      <c r="P390" s="155"/>
      <c r="Q390" s="166"/>
      <c r="R390" s="166"/>
      <c r="S390" s="166"/>
      <c r="T390" s="166"/>
      <c r="U390" s="154">
        <f t="shared" si="30"/>
        <v>8.9908000000000001</v>
      </c>
      <c r="V390" s="59" t="s">
        <v>228</v>
      </c>
      <c r="W390" s="367">
        <v>188</v>
      </c>
      <c r="X390" s="365">
        <v>30</v>
      </c>
      <c r="Y390" s="127">
        <v>9.0147500000000012</v>
      </c>
      <c r="Z390" s="126">
        <f t="shared" si="31"/>
        <v>8.9111999999999991</v>
      </c>
      <c r="AA390" s="159" t="s">
        <v>246</v>
      </c>
      <c r="AB390" s="367">
        <v>151</v>
      </c>
      <c r="AC390" s="365">
        <v>30</v>
      </c>
      <c r="AD390" s="162">
        <v>8.9908000000000001</v>
      </c>
      <c r="AE390" s="122">
        <f t="shared" si="27"/>
        <v>8.9111999999999991</v>
      </c>
      <c r="AF390" s="159" t="s">
        <v>246</v>
      </c>
      <c r="AG390" s="367">
        <v>151</v>
      </c>
      <c r="AH390" s="365">
        <v>30</v>
      </c>
      <c r="AI390" s="162">
        <v>8.9908000000000001</v>
      </c>
      <c r="AJ390" s="126">
        <f t="shared" si="28"/>
        <v>8.9111999999999991</v>
      </c>
      <c r="AK390" s="159" t="s">
        <v>246</v>
      </c>
      <c r="AL390" s="367">
        <v>151</v>
      </c>
      <c r="AM390" s="365">
        <v>30</v>
      </c>
      <c r="AN390" s="162">
        <v>8.9908000000000001</v>
      </c>
      <c r="AO390" s="126">
        <f t="shared" si="29"/>
        <v>8.9111999999999991</v>
      </c>
      <c r="AP390" s="159" t="s">
        <v>246</v>
      </c>
      <c r="AQ390" s="367">
        <v>151</v>
      </c>
      <c r="AR390" s="365">
        <v>30</v>
      </c>
      <c r="AS390" s="162">
        <v>8.9908000000000001</v>
      </c>
    </row>
    <row r="391" spans="11:45" x14ac:dyDescent="0.25">
      <c r="K391" s="125"/>
      <c r="L391" s="166"/>
      <c r="M391" s="166"/>
      <c r="N391" s="166"/>
      <c r="O391" s="166"/>
      <c r="P391" s="155"/>
      <c r="Q391" s="166"/>
      <c r="R391" s="166"/>
      <c r="S391" s="166"/>
      <c r="T391" s="166"/>
      <c r="U391" s="154">
        <f t="shared" si="30"/>
        <v>9.0147500000000012</v>
      </c>
      <c r="V391" s="59" t="s">
        <v>189</v>
      </c>
      <c r="W391" s="367">
        <v>254</v>
      </c>
      <c r="X391" s="365">
        <v>30</v>
      </c>
      <c r="Y391" s="127">
        <v>9.3870000000000005</v>
      </c>
      <c r="Z391" s="126">
        <f t="shared" si="31"/>
        <v>8.9908000000000001</v>
      </c>
      <c r="AA391" s="59" t="s">
        <v>228</v>
      </c>
      <c r="AB391" s="367">
        <v>188</v>
      </c>
      <c r="AC391" s="365">
        <v>30</v>
      </c>
      <c r="AD391" s="127">
        <v>9.0147500000000012</v>
      </c>
      <c r="AE391" s="122">
        <f t="shared" si="27"/>
        <v>8.9908000000000001</v>
      </c>
      <c r="AF391" s="59" t="s">
        <v>228</v>
      </c>
      <c r="AG391" s="367">
        <v>188</v>
      </c>
      <c r="AH391" s="365">
        <v>30</v>
      </c>
      <c r="AI391" s="127">
        <v>9.0147500000000012</v>
      </c>
      <c r="AJ391" s="126">
        <f t="shared" si="28"/>
        <v>8.9908000000000001</v>
      </c>
      <c r="AK391" s="59" t="s">
        <v>228</v>
      </c>
      <c r="AL391" s="367">
        <v>188</v>
      </c>
      <c r="AM391" s="365">
        <v>30</v>
      </c>
      <c r="AN391" s="127">
        <v>9.0147500000000012</v>
      </c>
      <c r="AO391" s="126">
        <f t="shared" si="29"/>
        <v>8.9908000000000001</v>
      </c>
      <c r="AP391" s="59" t="s">
        <v>228</v>
      </c>
      <c r="AQ391" s="367">
        <v>188</v>
      </c>
      <c r="AR391" s="365">
        <v>30</v>
      </c>
      <c r="AS391" s="127">
        <v>9.0147500000000012</v>
      </c>
    </row>
    <row r="392" spans="11:45" x14ac:dyDescent="0.25">
      <c r="K392" s="125"/>
      <c r="L392" s="166"/>
      <c r="M392" s="166"/>
      <c r="N392" s="166"/>
      <c r="O392" s="166"/>
      <c r="P392" s="155"/>
      <c r="Q392" s="166"/>
      <c r="R392" s="166"/>
      <c r="S392" s="166"/>
      <c r="T392" s="166"/>
      <c r="U392" s="154">
        <f t="shared" si="30"/>
        <v>9.3870000000000005</v>
      </c>
      <c r="V392" s="123" t="s">
        <v>162</v>
      </c>
      <c r="W392" s="368">
        <v>209</v>
      </c>
      <c r="X392" s="365">
        <v>30</v>
      </c>
      <c r="Y392" s="127">
        <v>9.4916999999999998</v>
      </c>
      <c r="Z392" s="126">
        <f t="shared" si="31"/>
        <v>9.0147500000000012</v>
      </c>
      <c r="AA392" s="159" t="s">
        <v>257</v>
      </c>
      <c r="AB392" s="367">
        <v>154</v>
      </c>
      <c r="AC392" s="365">
        <v>36</v>
      </c>
      <c r="AD392" s="162">
        <v>9.3624000000000009</v>
      </c>
      <c r="AE392" s="122">
        <f t="shared" si="27"/>
        <v>9.0147500000000012</v>
      </c>
      <c r="AF392" s="159" t="s">
        <v>257</v>
      </c>
      <c r="AG392" s="367">
        <v>154</v>
      </c>
      <c r="AH392" s="365">
        <v>36</v>
      </c>
      <c r="AI392" s="162">
        <v>9.3624000000000009</v>
      </c>
      <c r="AJ392" s="126">
        <f t="shared" si="28"/>
        <v>9.0147500000000012</v>
      </c>
      <c r="AK392" s="159" t="s">
        <v>257</v>
      </c>
      <c r="AL392" s="367">
        <v>154</v>
      </c>
      <c r="AM392" s="365">
        <v>36</v>
      </c>
      <c r="AN392" s="162">
        <v>9.3624000000000009</v>
      </c>
      <c r="AO392" s="126">
        <f t="shared" si="29"/>
        <v>9.0147500000000012</v>
      </c>
      <c r="AP392" s="159" t="s">
        <v>257</v>
      </c>
      <c r="AQ392" s="367">
        <v>154</v>
      </c>
      <c r="AR392" s="365">
        <v>36</v>
      </c>
      <c r="AS392" s="162">
        <v>9.3624000000000009</v>
      </c>
    </row>
    <row r="393" spans="11:45" x14ac:dyDescent="0.25">
      <c r="K393" s="125"/>
      <c r="L393" s="166"/>
      <c r="M393" s="166"/>
      <c r="N393" s="166"/>
      <c r="O393" s="166"/>
      <c r="P393" s="155"/>
      <c r="Q393" s="166"/>
      <c r="R393" s="166"/>
      <c r="S393" s="166"/>
      <c r="T393" s="166"/>
      <c r="U393" s="154">
        <f t="shared" si="30"/>
        <v>9.4916999999999998</v>
      </c>
      <c r="V393" s="59" t="s">
        <v>229</v>
      </c>
      <c r="W393" s="367">
        <v>204</v>
      </c>
      <c r="X393" s="365">
        <v>30</v>
      </c>
      <c r="Y393" s="127">
        <v>9.9414999999999996</v>
      </c>
      <c r="Z393" s="126">
        <f t="shared" si="31"/>
        <v>9.3624000000000009</v>
      </c>
      <c r="AA393" s="59" t="s">
        <v>189</v>
      </c>
      <c r="AB393" s="367">
        <v>254</v>
      </c>
      <c r="AC393" s="365">
        <v>30</v>
      </c>
      <c r="AD393" s="127">
        <v>9.3870000000000005</v>
      </c>
      <c r="AE393" s="122">
        <f t="shared" si="27"/>
        <v>9.3624000000000009</v>
      </c>
      <c r="AF393" s="59" t="s">
        <v>189</v>
      </c>
      <c r="AG393" s="367">
        <v>254</v>
      </c>
      <c r="AH393" s="365">
        <v>30</v>
      </c>
      <c r="AI393" s="127">
        <v>9.3870000000000005</v>
      </c>
      <c r="AJ393" s="126">
        <f t="shared" si="28"/>
        <v>9.3624000000000009</v>
      </c>
      <c r="AK393" s="59" t="s">
        <v>189</v>
      </c>
      <c r="AL393" s="367">
        <v>254</v>
      </c>
      <c r="AM393" s="365">
        <v>30</v>
      </c>
      <c r="AN393" s="127">
        <v>9.3870000000000005</v>
      </c>
      <c r="AO393" s="126">
        <f t="shared" si="29"/>
        <v>9.3624000000000009</v>
      </c>
      <c r="AP393" s="59" t="s">
        <v>189</v>
      </c>
      <c r="AQ393" s="367">
        <v>254</v>
      </c>
      <c r="AR393" s="365">
        <v>30</v>
      </c>
      <c r="AS393" s="127">
        <v>9.3870000000000005</v>
      </c>
    </row>
    <row r="394" spans="11:45" x14ac:dyDescent="0.25">
      <c r="K394" s="125"/>
      <c r="L394" s="166"/>
      <c r="M394" s="166"/>
      <c r="N394" s="166"/>
      <c r="O394" s="166"/>
      <c r="P394" s="155"/>
      <c r="Q394" s="166"/>
      <c r="R394" s="166"/>
      <c r="S394" s="166"/>
      <c r="T394" s="166"/>
      <c r="U394" s="154">
        <f t="shared" si="30"/>
        <v>9.9414999999999996</v>
      </c>
      <c r="V394" s="123" t="s">
        <v>101</v>
      </c>
      <c r="W394" s="367">
        <v>172</v>
      </c>
      <c r="X394" s="365">
        <v>30</v>
      </c>
      <c r="Y394" s="127">
        <v>10.143000000000002</v>
      </c>
      <c r="Z394" s="126">
        <f t="shared" si="31"/>
        <v>9.3870000000000005</v>
      </c>
      <c r="AA394" s="123" t="s">
        <v>162</v>
      </c>
      <c r="AB394" s="368">
        <v>209</v>
      </c>
      <c r="AC394" s="365">
        <v>30</v>
      </c>
      <c r="AD394" s="127">
        <v>9.4916999999999998</v>
      </c>
      <c r="AE394" s="122">
        <f t="shared" si="27"/>
        <v>9.3870000000000005</v>
      </c>
      <c r="AF394" s="123" t="s">
        <v>162</v>
      </c>
      <c r="AG394" s="368">
        <v>209</v>
      </c>
      <c r="AH394" s="365">
        <v>30</v>
      </c>
      <c r="AI394" s="127">
        <v>9.4916999999999998</v>
      </c>
      <c r="AJ394" s="126">
        <f t="shared" si="28"/>
        <v>9.3870000000000005</v>
      </c>
      <c r="AK394" s="123" t="s">
        <v>162</v>
      </c>
      <c r="AL394" s="368">
        <v>209</v>
      </c>
      <c r="AM394" s="365">
        <v>30</v>
      </c>
      <c r="AN394" s="127">
        <v>9.4916999999999998</v>
      </c>
      <c r="AO394" s="126">
        <f t="shared" si="29"/>
        <v>9.3870000000000005</v>
      </c>
      <c r="AP394" s="123" t="s">
        <v>162</v>
      </c>
      <c r="AQ394" s="368">
        <v>209</v>
      </c>
      <c r="AR394" s="365">
        <v>30</v>
      </c>
      <c r="AS394" s="127">
        <v>9.4916999999999998</v>
      </c>
    </row>
    <row r="395" spans="11:45" x14ac:dyDescent="0.25">
      <c r="K395" s="125"/>
      <c r="L395" s="166"/>
      <c r="M395" s="166"/>
      <c r="N395" s="166"/>
      <c r="O395" s="166"/>
      <c r="P395" s="155"/>
      <c r="Q395" s="166"/>
      <c r="R395" s="166"/>
      <c r="S395" s="166"/>
      <c r="T395" s="166"/>
      <c r="U395" s="154">
        <f t="shared" si="30"/>
        <v>10.143000000000002</v>
      </c>
      <c r="V395" s="159" t="s">
        <v>247</v>
      </c>
      <c r="W395" s="367">
        <v>171</v>
      </c>
      <c r="X395" s="365">
        <v>30</v>
      </c>
      <c r="Y395" s="162">
        <v>10.176399999999999</v>
      </c>
      <c r="Z395" s="126">
        <f t="shared" si="31"/>
        <v>9.4916999999999998</v>
      </c>
      <c r="AA395" s="159" t="s">
        <v>256</v>
      </c>
      <c r="AB395" s="367">
        <v>131</v>
      </c>
      <c r="AC395" s="365">
        <v>36</v>
      </c>
      <c r="AD395" s="162">
        <v>9.7007999999999992</v>
      </c>
      <c r="AE395" s="122">
        <f t="shared" si="27"/>
        <v>9.4916999999999998</v>
      </c>
      <c r="AF395" s="159" t="s">
        <v>256</v>
      </c>
      <c r="AG395" s="367">
        <v>131</v>
      </c>
      <c r="AH395" s="365">
        <v>36</v>
      </c>
      <c r="AI395" s="162">
        <v>9.7007999999999992</v>
      </c>
      <c r="AJ395" s="126">
        <f t="shared" si="28"/>
        <v>9.4916999999999998</v>
      </c>
      <c r="AK395" s="159" t="s">
        <v>256</v>
      </c>
      <c r="AL395" s="367">
        <v>131</v>
      </c>
      <c r="AM395" s="365">
        <v>36</v>
      </c>
      <c r="AN395" s="162">
        <v>9.7007999999999992</v>
      </c>
      <c r="AO395" s="126">
        <f t="shared" si="29"/>
        <v>9.4916999999999998</v>
      </c>
      <c r="AP395" s="159" t="s">
        <v>256</v>
      </c>
      <c r="AQ395" s="367">
        <v>131</v>
      </c>
      <c r="AR395" s="365">
        <v>36</v>
      </c>
      <c r="AS395" s="162">
        <v>9.7007999999999992</v>
      </c>
    </row>
    <row r="396" spans="11:45" x14ac:dyDescent="0.25">
      <c r="K396" s="125"/>
      <c r="L396" s="166"/>
      <c r="M396" s="166"/>
      <c r="N396" s="166"/>
      <c r="O396" s="166"/>
      <c r="P396" s="155"/>
      <c r="Q396" s="166"/>
      <c r="R396" s="166"/>
      <c r="S396" s="166"/>
      <c r="T396" s="166"/>
      <c r="U396" s="154">
        <f t="shared" si="30"/>
        <v>10.176399999999999</v>
      </c>
      <c r="V396" s="59" t="s">
        <v>190</v>
      </c>
      <c r="W396" s="367">
        <v>281</v>
      </c>
      <c r="X396" s="365">
        <v>30</v>
      </c>
      <c r="Y396" s="127">
        <v>10.458</v>
      </c>
      <c r="Z396" s="126">
        <f t="shared" si="31"/>
        <v>9.7007999999999992</v>
      </c>
      <c r="AA396" s="159" t="s">
        <v>249</v>
      </c>
      <c r="AB396" s="367">
        <v>227</v>
      </c>
      <c r="AC396" s="365">
        <v>36</v>
      </c>
      <c r="AD396" s="162">
        <v>9.879999999999999</v>
      </c>
      <c r="AE396" s="122">
        <f t="shared" si="27"/>
        <v>9.7007999999999992</v>
      </c>
      <c r="AF396" s="159" t="s">
        <v>249</v>
      </c>
      <c r="AG396" s="367">
        <v>227</v>
      </c>
      <c r="AH396" s="365">
        <v>36</v>
      </c>
      <c r="AI396" s="162">
        <v>9.879999999999999</v>
      </c>
      <c r="AJ396" s="126">
        <f t="shared" si="28"/>
        <v>9.7007999999999992</v>
      </c>
      <c r="AK396" s="159" t="s">
        <v>249</v>
      </c>
      <c r="AL396" s="367">
        <v>227</v>
      </c>
      <c r="AM396" s="365">
        <v>36</v>
      </c>
      <c r="AN396" s="162">
        <v>9.879999999999999</v>
      </c>
      <c r="AO396" s="126">
        <f t="shared" si="29"/>
        <v>9.7007999999999992</v>
      </c>
      <c r="AP396" s="159" t="s">
        <v>249</v>
      </c>
      <c r="AQ396" s="367">
        <v>227</v>
      </c>
      <c r="AR396" s="365">
        <v>36</v>
      </c>
      <c r="AS396" s="162">
        <v>9.879999999999999</v>
      </c>
    </row>
    <row r="397" spans="11:45" x14ac:dyDescent="0.25">
      <c r="K397" s="125"/>
      <c r="L397" s="166"/>
      <c r="M397" s="166"/>
      <c r="N397" s="166"/>
      <c r="O397" s="166"/>
      <c r="P397" s="155"/>
      <c r="Q397" s="166"/>
      <c r="R397" s="166"/>
      <c r="S397" s="166"/>
      <c r="T397" s="166"/>
      <c r="U397" s="154">
        <f t="shared" si="30"/>
        <v>10.458</v>
      </c>
      <c r="V397" s="123" t="s">
        <v>163</v>
      </c>
      <c r="W397" s="368">
        <v>235</v>
      </c>
      <c r="X397" s="365">
        <v>30</v>
      </c>
      <c r="Y397" s="127">
        <v>10.473599999999999</v>
      </c>
      <c r="Z397" s="126">
        <f t="shared" si="31"/>
        <v>9.879999999999999</v>
      </c>
      <c r="AA397" s="159" t="s">
        <v>258</v>
      </c>
      <c r="AB397" s="367">
        <v>176</v>
      </c>
      <c r="AC397" s="365">
        <v>36</v>
      </c>
      <c r="AD397" s="162">
        <v>9.926400000000001</v>
      </c>
      <c r="AE397" s="122">
        <f t="shared" si="27"/>
        <v>9.879999999999999</v>
      </c>
      <c r="AF397" s="159" t="s">
        <v>258</v>
      </c>
      <c r="AG397" s="367">
        <v>176</v>
      </c>
      <c r="AH397" s="365">
        <v>36</v>
      </c>
      <c r="AI397" s="162">
        <v>9.926400000000001</v>
      </c>
      <c r="AJ397" s="126">
        <f t="shared" si="28"/>
        <v>9.879999999999999</v>
      </c>
      <c r="AK397" s="159" t="s">
        <v>258</v>
      </c>
      <c r="AL397" s="367">
        <v>176</v>
      </c>
      <c r="AM397" s="365">
        <v>36</v>
      </c>
      <c r="AN397" s="162">
        <v>9.926400000000001</v>
      </c>
      <c r="AO397" s="126">
        <f t="shared" si="29"/>
        <v>9.879999999999999</v>
      </c>
      <c r="AP397" s="159" t="s">
        <v>258</v>
      </c>
      <c r="AQ397" s="367">
        <v>176</v>
      </c>
      <c r="AR397" s="365">
        <v>36</v>
      </c>
      <c r="AS397" s="162">
        <v>9.926400000000001</v>
      </c>
    </row>
    <row r="398" spans="11:45" x14ac:dyDescent="0.25">
      <c r="K398" s="125"/>
      <c r="L398" s="166"/>
      <c r="M398" s="166"/>
      <c r="N398" s="166"/>
      <c r="O398" s="166"/>
      <c r="P398" s="155"/>
      <c r="Q398" s="166"/>
      <c r="R398" s="166"/>
      <c r="S398" s="166"/>
      <c r="T398" s="166"/>
      <c r="U398" s="154">
        <f t="shared" si="30"/>
        <v>10.473599999999999</v>
      </c>
      <c r="V398" s="59" t="s">
        <v>230</v>
      </c>
      <c r="W398" s="367">
        <v>231</v>
      </c>
      <c r="X398" s="365">
        <v>30</v>
      </c>
      <c r="Y398" s="127">
        <v>11.03675</v>
      </c>
      <c r="Z398" s="126">
        <f t="shared" si="31"/>
        <v>9.926400000000001</v>
      </c>
      <c r="AA398" s="59" t="s">
        <v>229</v>
      </c>
      <c r="AB398" s="367">
        <v>204</v>
      </c>
      <c r="AC398" s="365">
        <v>30</v>
      </c>
      <c r="AD398" s="127">
        <v>9.9414999999999996</v>
      </c>
      <c r="AE398" s="122">
        <f t="shared" si="27"/>
        <v>9.926400000000001</v>
      </c>
      <c r="AF398" s="59" t="s">
        <v>229</v>
      </c>
      <c r="AG398" s="367">
        <v>204</v>
      </c>
      <c r="AH398" s="365">
        <v>30</v>
      </c>
      <c r="AI398" s="127">
        <v>9.9414999999999996</v>
      </c>
      <c r="AJ398" s="126">
        <f t="shared" si="28"/>
        <v>9.926400000000001</v>
      </c>
      <c r="AK398" s="59" t="s">
        <v>229</v>
      </c>
      <c r="AL398" s="367">
        <v>204</v>
      </c>
      <c r="AM398" s="365">
        <v>30</v>
      </c>
      <c r="AN398" s="127">
        <v>9.9414999999999996</v>
      </c>
      <c r="AO398" s="126">
        <f t="shared" si="29"/>
        <v>9.926400000000001</v>
      </c>
      <c r="AP398" s="59" t="s">
        <v>229</v>
      </c>
      <c r="AQ398" s="367">
        <v>204</v>
      </c>
      <c r="AR398" s="365">
        <v>30</v>
      </c>
      <c r="AS398" s="127">
        <v>9.9414999999999996</v>
      </c>
    </row>
    <row r="399" spans="11:45" x14ac:dyDescent="0.25">
      <c r="K399" s="125"/>
      <c r="L399" s="166"/>
      <c r="M399" s="166"/>
      <c r="N399" s="166"/>
      <c r="O399" s="166"/>
      <c r="P399" s="155"/>
      <c r="Q399" s="166"/>
      <c r="R399" s="166"/>
      <c r="S399" s="166"/>
      <c r="T399" s="166"/>
      <c r="U399" s="154">
        <f t="shared" si="30"/>
        <v>11.03675</v>
      </c>
      <c r="V399" s="59" t="s">
        <v>191</v>
      </c>
      <c r="W399" s="367">
        <v>310</v>
      </c>
      <c r="X399" s="365">
        <v>30</v>
      </c>
      <c r="Y399" s="127">
        <v>11.214000000000002</v>
      </c>
      <c r="Z399" s="126">
        <f t="shared" si="31"/>
        <v>9.9414999999999996</v>
      </c>
      <c r="AA399" s="123" t="s">
        <v>101</v>
      </c>
      <c r="AB399" s="367">
        <v>172</v>
      </c>
      <c r="AC399" s="365">
        <v>30</v>
      </c>
      <c r="AD399" s="127">
        <v>10.143000000000002</v>
      </c>
      <c r="AE399" s="122">
        <f t="shared" si="27"/>
        <v>9.9414999999999996</v>
      </c>
      <c r="AF399" s="123" t="s">
        <v>101</v>
      </c>
      <c r="AG399" s="367">
        <v>172</v>
      </c>
      <c r="AH399" s="365">
        <v>30</v>
      </c>
      <c r="AI399" s="127">
        <v>10.143000000000002</v>
      </c>
      <c r="AJ399" s="126">
        <f t="shared" si="28"/>
        <v>9.9414999999999996</v>
      </c>
      <c r="AK399" s="123" t="s">
        <v>101</v>
      </c>
      <c r="AL399" s="367">
        <v>172</v>
      </c>
      <c r="AM399" s="365">
        <v>30</v>
      </c>
      <c r="AN399" s="127">
        <v>10.143000000000002</v>
      </c>
      <c r="AO399" s="126">
        <f t="shared" si="29"/>
        <v>9.9414999999999996</v>
      </c>
      <c r="AP399" s="123" t="s">
        <v>101</v>
      </c>
      <c r="AQ399" s="367">
        <v>172</v>
      </c>
      <c r="AR399" s="365">
        <v>30</v>
      </c>
      <c r="AS399" s="127">
        <v>10.143000000000002</v>
      </c>
    </row>
    <row r="400" spans="11:45" x14ac:dyDescent="0.25">
      <c r="K400" s="125"/>
      <c r="L400" s="166"/>
      <c r="M400" s="166"/>
      <c r="N400" s="166"/>
      <c r="O400" s="166"/>
      <c r="P400" s="155"/>
      <c r="Q400" s="166"/>
      <c r="R400" s="166"/>
      <c r="S400" s="166"/>
      <c r="T400" s="166"/>
      <c r="U400" s="154">
        <f t="shared" ref="U400:U420" si="32">Y399</f>
        <v>11.214000000000002</v>
      </c>
      <c r="V400" s="59" t="s">
        <v>231</v>
      </c>
      <c r="W400" s="367">
        <v>256</v>
      </c>
      <c r="X400" s="365">
        <v>30</v>
      </c>
      <c r="Y400" s="127">
        <v>11.289500000000002</v>
      </c>
      <c r="Z400" s="126">
        <f t="shared" ref="Z400:Z431" si="33">AD399</f>
        <v>10.143000000000002</v>
      </c>
      <c r="AA400" s="159" t="s">
        <v>247</v>
      </c>
      <c r="AB400" s="367">
        <v>171</v>
      </c>
      <c r="AC400" s="365">
        <v>30</v>
      </c>
      <c r="AD400" s="162">
        <v>10.176399999999999</v>
      </c>
      <c r="AE400" s="122">
        <f t="shared" ref="AE400:AE463" si="34">AI399</f>
        <v>10.143000000000002</v>
      </c>
      <c r="AF400" s="159" t="s">
        <v>247</v>
      </c>
      <c r="AG400" s="367">
        <v>171</v>
      </c>
      <c r="AH400" s="365">
        <v>30</v>
      </c>
      <c r="AI400" s="162">
        <v>10.176399999999999</v>
      </c>
      <c r="AJ400" s="126">
        <f t="shared" ref="AJ400:AJ463" si="35">AN399</f>
        <v>10.143000000000002</v>
      </c>
      <c r="AK400" s="159" t="s">
        <v>247</v>
      </c>
      <c r="AL400" s="367">
        <v>171</v>
      </c>
      <c r="AM400" s="365">
        <v>30</v>
      </c>
      <c r="AN400" s="162">
        <v>10.176399999999999</v>
      </c>
      <c r="AO400" s="126">
        <f t="shared" ref="AO400:AO463" si="36">AS399</f>
        <v>10.143000000000002</v>
      </c>
      <c r="AP400" s="159" t="s">
        <v>247</v>
      </c>
      <c r="AQ400" s="367">
        <v>171</v>
      </c>
      <c r="AR400" s="365">
        <v>30</v>
      </c>
      <c r="AS400" s="162">
        <v>10.176399999999999</v>
      </c>
    </row>
    <row r="401" spans="11:45" x14ac:dyDescent="0.25">
      <c r="K401" s="125"/>
      <c r="L401" s="166"/>
      <c r="M401" s="166"/>
      <c r="N401" s="166"/>
      <c r="O401" s="166"/>
      <c r="P401" s="155"/>
      <c r="Q401" s="166"/>
      <c r="R401" s="166"/>
      <c r="S401" s="166"/>
      <c r="T401" s="166"/>
      <c r="U401" s="154">
        <f t="shared" si="32"/>
        <v>11.289500000000002</v>
      </c>
      <c r="V401" s="159" t="s">
        <v>248</v>
      </c>
      <c r="W401" s="367">
        <v>192</v>
      </c>
      <c r="X401" s="365">
        <v>30</v>
      </c>
      <c r="Y401" s="162">
        <v>11.460800000000001</v>
      </c>
      <c r="Z401" s="126">
        <f t="shared" si="33"/>
        <v>10.176399999999999</v>
      </c>
      <c r="AA401" s="59" t="s">
        <v>190</v>
      </c>
      <c r="AB401" s="367">
        <v>281</v>
      </c>
      <c r="AC401" s="365">
        <v>30</v>
      </c>
      <c r="AD401" s="127">
        <v>10.458</v>
      </c>
      <c r="AE401" s="122">
        <f t="shared" si="34"/>
        <v>10.176399999999999</v>
      </c>
      <c r="AF401" s="59" t="s">
        <v>190</v>
      </c>
      <c r="AG401" s="367">
        <v>281</v>
      </c>
      <c r="AH401" s="365">
        <v>30</v>
      </c>
      <c r="AI401" s="127">
        <v>10.458</v>
      </c>
      <c r="AJ401" s="126">
        <f t="shared" si="35"/>
        <v>10.176399999999999</v>
      </c>
      <c r="AK401" s="59" t="s">
        <v>190</v>
      </c>
      <c r="AL401" s="367">
        <v>281</v>
      </c>
      <c r="AM401" s="365">
        <v>30</v>
      </c>
      <c r="AN401" s="127">
        <v>10.458</v>
      </c>
      <c r="AO401" s="126">
        <f t="shared" si="36"/>
        <v>10.176399999999999</v>
      </c>
      <c r="AP401" s="59" t="s">
        <v>190</v>
      </c>
      <c r="AQ401" s="367">
        <v>281</v>
      </c>
      <c r="AR401" s="365">
        <v>30</v>
      </c>
      <c r="AS401" s="127">
        <v>10.458</v>
      </c>
    </row>
    <row r="402" spans="11:45" x14ac:dyDescent="0.25">
      <c r="K402" s="125"/>
      <c r="L402" s="166"/>
      <c r="M402" s="166"/>
      <c r="N402" s="166"/>
      <c r="O402" s="166"/>
      <c r="P402" s="155"/>
      <c r="Q402" s="166"/>
      <c r="R402" s="166"/>
      <c r="S402" s="166"/>
      <c r="T402" s="166"/>
      <c r="U402" s="154">
        <f t="shared" si="32"/>
        <v>11.460800000000001</v>
      </c>
      <c r="V402" s="123" t="s">
        <v>164</v>
      </c>
      <c r="W402" s="368">
        <v>263</v>
      </c>
      <c r="X402" s="365">
        <v>30</v>
      </c>
      <c r="Y402" s="127">
        <v>11.5646</v>
      </c>
      <c r="Z402" s="126">
        <f t="shared" si="33"/>
        <v>10.458</v>
      </c>
      <c r="AA402" s="123" t="s">
        <v>163</v>
      </c>
      <c r="AB402" s="368">
        <v>235</v>
      </c>
      <c r="AC402" s="365">
        <v>30</v>
      </c>
      <c r="AD402" s="127">
        <v>10.473599999999999</v>
      </c>
      <c r="AE402" s="122">
        <f t="shared" si="34"/>
        <v>10.458</v>
      </c>
      <c r="AF402" s="123" t="s">
        <v>163</v>
      </c>
      <c r="AG402" s="368">
        <v>235</v>
      </c>
      <c r="AH402" s="365">
        <v>30</v>
      </c>
      <c r="AI402" s="127">
        <v>10.473599999999999</v>
      </c>
      <c r="AJ402" s="126">
        <f t="shared" si="35"/>
        <v>10.458</v>
      </c>
      <c r="AK402" s="123" t="s">
        <v>163</v>
      </c>
      <c r="AL402" s="368">
        <v>235</v>
      </c>
      <c r="AM402" s="365">
        <v>30</v>
      </c>
      <c r="AN402" s="127">
        <v>10.473599999999999</v>
      </c>
      <c r="AO402" s="126">
        <f t="shared" si="36"/>
        <v>10.458</v>
      </c>
      <c r="AP402" s="123" t="s">
        <v>163</v>
      </c>
      <c r="AQ402" s="368">
        <v>235</v>
      </c>
      <c r="AR402" s="365">
        <v>30</v>
      </c>
      <c r="AS402" s="127">
        <v>10.473599999999999</v>
      </c>
    </row>
    <row r="403" spans="11:45" x14ac:dyDescent="0.25">
      <c r="K403" s="125"/>
      <c r="L403" s="166"/>
      <c r="M403" s="166"/>
      <c r="N403" s="166"/>
      <c r="O403" s="166"/>
      <c r="P403" s="155"/>
      <c r="Q403" s="166"/>
      <c r="R403" s="166"/>
      <c r="S403" s="166"/>
      <c r="T403" s="166"/>
      <c r="U403" s="154">
        <f t="shared" si="32"/>
        <v>11.5646</v>
      </c>
      <c r="V403" s="59" t="s">
        <v>232</v>
      </c>
      <c r="W403" s="367">
        <v>282</v>
      </c>
      <c r="X403" s="365">
        <v>30</v>
      </c>
      <c r="Y403" s="127">
        <v>12.300499999999998</v>
      </c>
      <c r="Z403" s="126">
        <f t="shared" si="33"/>
        <v>10.473599999999999</v>
      </c>
      <c r="AA403" s="159" t="s">
        <v>259</v>
      </c>
      <c r="AB403" s="367">
        <v>196</v>
      </c>
      <c r="AC403" s="365">
        <v>36</v>
      </c>
      <c r="AD403" s="162">
        <v>10.603200000000001</v>
      </c>
      <c r="AE403" s="122">
        <f t="shared" si="34"/>
        <v>10.473599999999999</v>
      </c>
      <c r="AF403" s="159" t="s">
        <v>259</v>
      </c>
      <c r="AG403" s="367">
        <v>196</v>
      </c>
      <c r="AH403" s="365">
        <v>36</v>
      </c>
      <c r="AI403" s="162">
        <v>10.603200000000001</v>
      </c>
      <c r="AJ403" s="126">
        <f t="shared" si="35"/>
        <v>10.473599999999999</v>
      </c>
      <c r="AK403" s="159" t="s">
        <v>259</v>
      </c>
      <c r="AL403" s="367">
        <v>196</v>
      </c>
      <c r="AM403" s="365">
        <v>36</v>
      </c>
      <c r="AN403" s="162">
        <v>10.603200000000001</v>
      </c>
      <c r="AO403" s="126">
        <f t="shared" si="36"/>
        <v>10.473599999999999</v>
      </c>
      <c r="AP403" s="159" t="s">
        <v>259</v>
      </c>
      <c r="AQ403" s="367">
        <v>196</v>
      </c>
      <c r="AR403" s="365">
        <v>36</v>
      </c>
      <c r="AS403" s="162">
        <v>10.603200000000001</v>
      </c>
    </row>
    <row r="404" spans="11:45" x14ac:dyDescent="0.25">
      <c r="K404" s="125"/>
      <c r="L404" s="166"/>
      <c r="M404" s="166"/>
      <c r="N404" s="166"/>
      <c r="O404" s="166"/>
      <c r="P404" s="155"/>
      <c r="Q404" s="166"/>
      <c r="R404" s="166"/>
      <c r="S404" s="166"/>
      <c r="T404" s="166"/>
      <c r="U404" s="154">
        <f t="shared" si="32"/>
        <v>12.300499999999998</v>
      </c>
      <c r="V404" s="59" t="s">
        <v>192</v>
      </c>
      <c r="W404" s="367">
        <v>338</v>
      </c>
      <c r="X404" s="365">
        <v>30</v>
      </c>
      <c r="Y404" s="127">
        <v>12.348000000000001</v>
      </c>
      <c r="Z404" s="126">
        <f t="shared" si="33"/>
        <v>10.603200000000001</v>
      </c>
      <c r="AA404" s="159" t="s">
        <v>250</v>
      </c>
      <c r="AB404" s="367">
        <v>249</v>
      </c>
      <c r="AC404" s="365">
        <v>36</v>
      </c>
      <c r="AD404" s="162">
        <v>10.868000000000002</v>
      </c>
      <c r="AE404" s="122">
        <f t="shared" si="34"/>
        <v>10.603200000000001</v>
      </c>
      <c r="AF404" s="159" t="s">
        <v>250</v>
      </c>
      <c r="AG404" s="367">
        <v>249</v>
      </c>
      <c r="AH404" s="365">
        <v>36</v>
      </c>
      <c r="AI404" s="162">
        <v>10.868000000000002</v>
      </c>
      <c r="AJ404" s="126">
        <f t="shared" si="35"/>
        <v>10.603200000000001</v>
      </c>
      <c r="AK404" s="159" t="s">
        <v>250</v>
      </c>
      <c r="AL404" s="367">
        <v>249</v>
      </c>
      <c r="AM404" s="365">
        <v>36</v>
      </c>
      <c r="AN404" s="162">
        <v>10.868000000000002</v>
      </c>
      <c r="AO404" s="126">
        <f t="shared" si="36"/>
        <v>10.603200000000001</v>
      </c>
      <c r="AP404" s="159" t="s">
        <v>250</v>
      </c>
      <c r="AQ404" s="367">
        <v>249</v>
      </c>
      <c r="AR404" s="365">
        <v>36</v>
      </c>
      <c r="AS404" s="162">
        <v>10.868000000000002</v>
      </c>
    </row>
    <row r="405" spans="11:45" x14ac:dyDescent="0.25">
      <c r="K405" s="125"/>
      <c r="L405" s="166"/>
      <c r="M405" s="166"/>
      <c r="N405" s="166"/>
      <c r="O405" s="166"/>
      <c r="P405" s="155"/>
      <c r="Q405" s="166"/>
      <c r="R405" s="166"/>
      <c r="S405" s="166"/>
      <c r="T405" s="166"/>
      <c r="U405" s="154">
        <f t="shared" si="32"/>
        <v>12.348000000000001</v>
      </c>
      <c r="V405" s="123" t="s">
        <v>165</v>
      </c>
      <c r="W405" s="368">
        <v>292</v>
      </c>
      <c r="X405" s="365">
        <v>30</v>
      </c>
      <c r="Y405" s="127">
        <v>12.873799999999999</v>
      </c>
      <c r="Z405" s="126">
        <f t="shared" si="33"/>
        <v>10.868000000000002</v>
      </c>
      <c r="AA405" s="59" t="s">
        <v>230</v>
      </c>
      <c r="AB405" s="367">
        <v>231</v>
      </c>
      <c r="AC405" s="365">
        <v>30</v>
      </c>
      <c r="AD405" s="127">
        <v>11.03675</v>
      </c>
      <c r="AE405" s="122">
        <f t="shared" si="34"/>
        <v>10.868000000000002</v>
      </c>
      <c r="AF405" s="59" t="s">
        <v>230</v>
      </c>
      <c r="AG405" s="367">
        <v>231</v>
      </c>
      <c r="AH405" s="365">
        <v>30</v>
      </c>
      <c r="AI405" s="127">
        <v>11.03675</v>
      </c>
      <c r="AJ405" s="126">
        <f t="shared" si="35"/>
        <v>10.868000000000002</v>
      </c>
      <c r="AK405" s="59" t="s">
        <v>230</v>
      </c>
      <c r="AL405" s="367">
        <v>231</v>
      </c>
      <c r="AM405" s="365">
        <v>30</v>
      </c>
      <c r="AN405" s="127">
        <v>11.03675</v>
      </c>
      <c r="AO405" s="126">
        <f t="shared" si="36"/>
        <v>10.868000000000002</v>
      </c>
      <c r="AP405" s="59" t="s">
        <v>230</v>
      </c>
      <c r="AQ405" s="367">
        <v>231</v>
      </c>
      <c r="AR405" s="365">
        <v>30</v>
      </c>
      <c r="AS405" s="127">
        <v>11.03675</v>
      </c>
    </row>
    <row r="406" spans="11:45" x14ac:dyDescent="0.25">
      <c r="K406" s="125"/>
      <c r="L406" s="166"/>
      <c r="M406" s="166"/>
      <c r="N406" s="166"/>
      <c r="O406" s="166"/>
      <c r="P406" s="155"/>
      <c r="Q406" s="166"/>
      <c r="R406" s="166"/>
      <c r="S406" s="166"/>
      <c r="T406" s="166"/>
      <c r="U406" s="154">
        <f t="shared" si="32"/>
        <v>12.873799999999999</v>
      </c>
      <c r="V406" s="59" t="s">
        <v>193</v>
      </c>
      <c r="W406" s="367">
        <v>375</v>
      </c>
      <c r="X406" s="365">
        <v>30</v>
      </c>
      <c r="Y406" s="127">
        <v>13.482000000000001</v>
      </c>
      <c r="Z406" s="126">
        <f t="shared" si="33"/>
        <v>11.03675</v>
      </c>
      <c r="AA406" s="59" t="s">
        <v>191</v>
      </c>
      <c r="AB406" s="367">
        <v>310</v>
      </c>
      <c r="AC406" s="365">
        <v>30</v>
      </c>
      <c r="AD406" s="127">
        <v>11.214000000000002</v>
      </c>
      <c r="AE406" s="122">
        <f t="shared" si="34"/>
        <v>11.03675</v>
      </c>
      <c r="AF406" s="59" t="s">
        <v>191</v>
      </c>
      <c r="AG406" s="367">
        <v>310</v>
      </c>
      <c r="AH406" s="365">
        <v>30</v>
      </c>
      <c r="AI406" s="127">
        <v>11.214000000000002</v>
      </c>
      <c r="AJ406" s="126">
        <f t="shared" si="35"/>
        <v>11.03675</v>
      </c>
      <c r="AK406" s="59" t="s">
        <v>191</v>
      </c>
      <c r="AL406" s="367">
        <v>310</v>
      </c>
      <c r="AM406" s="365">
        <v>30</v>
      </c>
      <c r="AN406" s="127">
        <v>11.214000000000002</v>
      </c>
      <c r="AO406" s="126">
        <f t="shared" si="36"/>
        <v>11.03675</v>
      </c>
      <c r="AP406" s="59" t="s">
        <v>191</v>
      </c>
      <c r="AQ406" s="367">
        <v>310</v>
      </c>
      <c r="AR406" s="365">
        <v>30</v>
      </c>
      <c r="AS406" s="127">
        <v>11.214000000000002</v>
      </c>
    </row>
    <row r="407" spans="11:45" x14ac:dyDescent="0.25">
      <c r="K407" s="125"/>
      <c r="L407" s="166"/>
      <c r="M407" s="166"/>
      <c r="N407" s="166"/>
      <c r="O407" s="166"/>
      <c r="P407" s="155"/>
      <c r="Q407" s="166"/>
      <c r="R407" s="166"/>
      <c r="S407" s="166"/>
      <c r="T407" s="166"/>
      <c r="U407" s="154">
        <f t="shared" si="32"/>
        <v>13.482000000000001</v>
      </c>
      <c r="V407" s="59" t="s">
        <v>233</v>
      </c>
      <c r="W407" s="367">
        <v>310</v>
      </c>
      <c r="X407" s="365">
        <v>30</v>
      </c>
      <c r="Y407" s="127">
        <v>13.640400000000001</v>
      </c>
      <c r="Z407" s="126">
        <f t="shared" si="33"/>
        <v>11.214000000000002</v>
      </c>
      <c r="AA407" s="159" t="s">
        <v>262</v>
      </c>
      <c r="AB407" s="367">
        <v>258</v>
      </c>
      <c r="AC407" s="365">
        <v>36</v>
      </c>
      <c r="AD407" s="162">
        <v>11.28</v>
      </c>
      <c r="AE407" s="122">
        <f t="shared" si="34"/>
        <v>11.214000000000002</v>
      </c>
      <c r="AF407" s="159" t="s">
        <v>262</v>
      </c>
      <c r="AG407" s="367">
        <v>258</v>
      </c>
      <c r="AH407" s="365">
        <v>36</v>
      </c>
      <c r="AI407" s="162">
        <v>11.28</v>
      </c>
      <c r="AJ407" s="126">
        <f t="shared" si="35"/>
        <v>11.214000000000002</v>
      </c>
      <c r="AK407" s="159" t="s">
        <v>262</v>
      </c>
      <c r="AL407" s="367">
        <v>258</v>
      </c>
      <c r="AM407" s="365">
        <v>36</v>
      </c>
      <c r="AN407" s="162">
        <v>11.28</v>
      </c>
      <c r="AO407" s="126">
        <f t="shared" si="36"/>
        <v>11.214000000000002</v>
      </c>
      <c r="AP407" s="159" t="s">
        <v>262</v>
      </c>
      <c r="AQ407" s="367">
        <v>258</v>
      </c>
      <c r="AR407" s="365">
        <v>36</v>
      </c>
      <c r="AS407" s="162">
        <v>11.28</v>
      </c>
    </row>
    <row r="408" spans="11:45" x14ac:dyDescent="0.25">
      <c r="K408" s="125"/>
      <c r="L408" s="166"/>
      <c r="M408" s="166"/>
      <c r="N408" s="166"/>
      <c r="O408" s="166"/>
      <c r="P408" s="155"/>
      <c r="Q408" s="166"/>
      <c r="R408" s="166"/>
      <c r="S408" s="166"/>
      <c r="T408" s="166"/>
      <c r="U408" s="154">
        <f t="shared" si="32"/>
        <v>13.640400000000001</v>
      </c>
      <c r="V408" s="123" t="s">
        <v>166</v>
      </c>
      <c r="W408" s="368">
        <v>321</v>
      </c>
      <c r="X408" s="365">
        <v>30</v>
      </c>
      <c r="Y408" s="127">
        <v>14.019349999999999</v>
      </c>
      <c r="Z408" s="126">
        <f t="shared" si="33"/>
        <v>11.28</v>
      </c>
      <c r="AA408" s="59" t="s">
        <v>231</v>
      </c>
      <c r="AB408" s="367">
        <v>256</v>
      </c>
      <c r="AC408" s="365">
        <v>30</v>
      </c>
      <c r="AD408" s="127">
        <v>11.289500000000002</v>
      </c>
      <c r="AE408" s="122">
        <f t="shared" si="34"/>
        <v>11.28</v>
      </c>
      <c r="AF408" s="59" t="s">
        <v>231</v>
      </c>
      <c r="AG408" s="367">
        <v>256</v>
      </c>
      <c r="AH408" s="365">
        <v>30</v>
      </c>
      <c r="AI408" s="127">
        <v>11.289500000000002</v>
      </c>
      <c r="AJ408" s="126">
        <f t="shared" si="35"/>
        <v>11.28</v>
      </c>
      <c r="AK408" s="59" t="s">
        <v>231</v>
      </c>
      <c r="AL408" s="367">
        <v>256</v>
      </c>
      <c r="AM408" s="365">
        <v>30</v>
      </c>
      <c r="AN408" s="127">
        <v>11.289500000000002</v>
      </c>
      <c r="AO408" s="126">
        <f t="shared" si="36"/>
        <v>11.28</v>
      </c>
      <c r="AP408" s="59" t="s">
        <v>231</v>
      </c>
      <c r="AQ408" s="367">
        <v>256</v>
      </c>
      <c r="AR408" s="365">
        <v>30</v>
      </c>
      <c r="AS408" s="127">
        <v>11.289500000000002</v>
      </c>
    </row>
    <row r="409" spans="11:45" x14ac:dyDescent="0.25">
      <c r="K409" s="161"/>
      <c r="L409" s="166"/>
      <c r="M409" s="166"/>
      <c r="N409" s="166"/>
      <c r="O409" s="166"/>
      <c r="P409" s="155"/>
      <c r="Q409" s="166"/>
      <c r="R409" s="166"/>
      <c r="S409" s="166"/>
      <c r="T409" s="166"/>
      <c r="U409" s="154">
        <f t="shared" si="32"/>
        <v>14.019349999999999</v>
      </c>
      <c r="V409" s="59" t="s">
        <v>194</v>
      </c>
      <c r="W409" s="367">
        <v>415</v>
      </c>
      <c r="X409" s="365">
        <v>30</v>
      </c>
      <c r="Y409" s="127">
        <v>14.805</v>
      </c>
      <c r="Z409" s="126">
        <f t="shared" si="33"/>
        <v>11.289500000000002</v>
      </c>
      <c r="AA409" s="159" t="s">
        <v>248</v>
      </c>
      <c r="AB409" s="367">
        <v>192</v>
      </c>
      <c r="AC409" s="365">
        <v>30</v>
      </c>
      <c r="AD409" s="162">
        <v>11.460800000000001</v>
      </c>
      <c r="AE409" s="122">
        <f t="shared" si="34"/>
        <v>11.289500000000002</v>
      </c>
      <c r="AF409" s="159" t="s">
        <v>248</v>
      </c>
      <c r="AG409" s="367">
        <v>192</v>
      </c>
      <c r="AH409" s="365">
        <v>30</v>
      </c>
      <c r="AI409" s="162">
        <v>11.460800000000001</v>
      </c>
      <c r="AJ409" s="126">
        <f t="shared" si="35"/>
        <v>11.289500000000002</v>
      </c>
      <c r="AK409" s="159" t="s">
        <v>248</v>
      </c>
      <c r="AL409" s="367">
        <v>192</v>
      </c>
      <c r="AM409" s="365">
        <v>30</v>
      </c>
      <c r="AN409" s="162">
        <v>11.460800000000001</v>
      </c>
      <c r="AO409" s="126">
        <f t="shared" si="36"/>
        <v>11.289500000000002</v>
      </c>
      <c r="AP409" s="159" t="s">
        <v>248</v>
      </c>
      <c r="AQ409" s="367">
        <v>192</v>
      </c>
      <c r="AR409" s="365">
        <v>30</v>
      </c>
      <c r="AS409" s="162">
        <v>11.460800000000001</v>
      </c>
    </row>
    <row r="410" spans="11:45" x14ac:dyDescent="0.25">
      <c r="K410" s="161"/>
      <c r="L410" s="166"/>
      <c r="M410" s="166"/>
      <c r="N410" s="166"/>
      <c r="O410" s="166"/>
      <c r="P410" s="155"/>
      <c r="Q410" s="166"/>
      <c r="R410" s="166"/>
      <c r="S410" s="166"/>
      <c r="T410" s="166"/>
      <c r="U410" s="154">
        <f t="shared" si="32"/>
        <v>14.805</v>
      </c>
      <c r="V410" s="59" t="s">
        <v>234</v>
      </c>
      <c r="W410" s="367">
        <v>344</v>
      </c>
      <c r="X410" s="365">
        <v>30</v>
      </c>
      <c r="Y410" s="127">
        <v>15.0054</v>
      </c>
      <c r="Z410" s="126">
        <f t="shared" si="33"/>
        <v>11.460800000000001</v>
      </c>
      <c r="AA410" s="123" t="s">
        <v>164</v>
      </c>
      <c r="AB410" s="368">
        <v>263</v>
      </c>
      <c r="AC410" s="365">
        <v>30</v>
      </c>
      <c r="AD410" s="127">
        <v>11.5646</v>
      </c>
      <c r="AE410" s="122">
        <f t="shared" si="34"/>
        <v>11.460800000000001</v>
      </c>
      <c r="AF410" s="123" t="s">
        <v>164</v>
      </c>
      <c r="AG410" s="368">
        <v>263</v>
      </c>
      <c r="AH410" s="365">
        <v>30</v>
      </c>
      <c r="AI410" s="127">
        <v>11.5646</v>
      </c>
      <c r="AJ410" s="126">
        <f t="shared" si="35"/>
        <v>11.460800000000001</v>
      </c>
      <c r="AK410" s="123" t="s">
        <v>164</v>
      </c>
      <c r="AL410" s="368">
        <v>263</v>
      </c>
      <c r="AM410" s="365">
        <v>30</v>
      </c>
      <c r="AN410" s="127">
        <v>11.5646</v>
      </c>
      <c r="AO410" s="126">
        <f t="shared" si="36"/>
        <v>11.460800000000001</v>
      </c>
      <c r="AP410" s="123" t="s">
        <v>164</v>
      </c>
      <c r="AQ410" s="368">
        <v>263</v>
      </c>
      <c r="AR410" s="365">
        <v>30</v>
      </c>
      <c r="AS410" s="127">
        <v>11.5646</v>
      </c>
    </row>
    <row r="411" spans="11:45" x14ac:dyDescent="0.25">
      <c r="K411" s="161"/>
      <c r="L411" s="166"/>
      <c r="M411" s="166"/>
      <c r="N411" s="166"/>
      <c r="O411" s="166"/>
      <c r="P411" s="155"/>
      <c r="Q411" s="166"/>
      <c r="R411" s="166"/>
      <c r="S411" s="166"/>
      <c r="T411" s="166"/>
      <c r="U411" s="154">
        <f t="shared" si="32"/>
        <v>15.0054</v>
      </c>
      <c r="V411" s="123" t="s">
        <v>167</v>
      </c>
      <c r="W411" s="368">
        <v>353</v>
      </c>
      <c r="X411" s="365">
        <v>30</v>
      </c>
      <c r="Y411" s="127">
        <v>15.21945</v>
      </c>
      <c r="Z411" s="126">
        <f t="shared" si="33"/>
        <v>11.5646</v>
      </c>
      <c r="AA411" s="159" t="s">
        <v>260</v>
      </c>
      <c r="AB411" s="367">
        <v>222</v>
      </c>
      <c r="AC411" s="365">
        <v>36</v>
      </c>
      <c r="AD411" s="162">
        <v>11.618399999999999</v>
      </c>
      <c r="AE411" s="122">
        <f t="shared" si="34"/>
        <v>11.5646</v>
      </c>
      <c r="AF411" s="159" t="s">
        <v>260</v>
      </c>
      <c r="AG411" s="367">
        <v>222</v>
      </c>
      <c r="AH411" s="365">
        <v>36</v>
      </c>
      <c r="AI411" s="162">
        <v>11.618399999999999</v>
      </c>
      <c r="AJ411" s="126">
        <f t="shared" si="35"/>
        <v>11.5646</v>
      </c>
      <c r="AK411" s="159" t="s">
        <v>260</v>
      </c>
      <c r="AL411" s="367">
        <v>222</v>
      </c>
      <c r="AM411" s="365">
        <v>36</v>
      </c>
      <c r="AN411" s="162">
        <v>11.618399999999999</v>
      </c>
      <c r="AO411" s="126">
        <f t="shared" si="36"/>
        <v>11.5646</v>
      </c>
      <c r="AP411" s="159" t="s">
        <v>260</v>
      </c>
      <c r="AQ411" s="367">
        <v>222</v>
      </c>
      <c r="AR411" s="365">
        <v>36</v>
      </c>
      <c r="AS411" s="162">
        <v>11.618399999999999</v>
      </c>
    </row>
    <row r="412" spans="11:45" x14ac:dyDescent="0.25">
      <c r="K412" s="161"/>
      <c r="L412" s="166"/>
      <c r="M412" s="166"/>
      <c r="N412" s="166"/>
      <c r="O412" s="166"/>
      <c r="P412" s="155"/>
      <c r="Q412" s="166"/>
      <c r="R412" s="166"/>
      <c r="S412" s="166"/>
      <c r="T412" s="166"/>
      <c r="U412" s="154">
        <f t="shared" si="32"/>
        <v>15.21945</v>
      </c>
      <c r="V412" s="59" t="s">
        <v>235</v>
      </c>
      <c r="W412" s="367">
        <v>380</v>
      </c>
      <c r="X412" s="365">
        <v>30</v>
      </c>
      <c r="Y412" s="127">
        <v>16.176000000000002</v>
      </c>
      <c r="Z412" s="126">
        <f t="shared" si="33"/>
        <v>11.618399999999999</v>
      </c>
      <c r="AA412" s="159" t="s">
        <v>278</v>
      </c>
      <c r="AB412" s="367">
        <v>213</v>
      </c>
      <c r="AC412" s="365">
        <v>36</v>
      </c>
      <c r="AD412" s="162">
        <v>11.697800000000001</v>
      </c>
      <c r="AE412" s="122">
        <f t="shared" si="34"/>
        <v>11.618399999999999</v>
      </c>
      <c r="AF412" s="159" t="s">
        <v>278</v>
      </c>
      <c r="AG412" s="367">
        <v>213</v>
      </c>
      <c r="AH412" s="365">
        <v>36</v>
      </c>
      <c r="AI412" s="162">
        <v>11.697800000000001</v>
      </c>
      <c r="AJ412" s="126">
        <f t="shared" si="35"/>
        <v>11.618399999999999</v>
      </c>
      <c r="AK412" s="159" t="s">
        <v>278</v>
      </c>
      <c r="AL412" s="367">
        <v>213</v>
      </c>
      <c r="AM412" s="365">
        <v>36</v>
      </c>
      <c r="AN412" s="162">
        <v>11.697800000000001</v>
      </c>
      <c r="AO412" s="126">
        <f t="shared" si="36"/>
        <v>11.618399999999999</v>
      </c>
      <c r="AP412" s="159" t="s">
        <v>278</v>
      </c>
      <c r="AQ412" s="367">
        <v>213</v>
      </c>
      <c r="AR412" s="365">
        <v>36</v>
      </c>
      <c r="AS412" s="162">
        <v>11.697800000000001</v>
      </c>
    </row>
    <row r="413" spans="11:45" x14ac:dyDescent="0.25">
      <c r="K413" s="161"/>
      <c r="L413" s="166"/>
      <c r="M413" s="166"/>
      <c r="N413" s="166"/>
      <c r="O413" s="166"/>
      <c r="P413" s="155"/>
      <c r="Q413" s="166"/>
      <c r="R413" s="166"/>
      <c r="S413" s="166"/>
      <c r="T413" s="166"/>
      <c r="U413" s="154">
        <f t="shared" si="32"/>
        <v>16.176000000000002</v>
      </c>
      <c r="V413" s="59" t="s">
        <v>195</v>
      </c>
      <c r="W413" s="367">
        <v>459</v>
      </c>
      <c r="X413" s="365">
        <v>30</v>
      </c>
      <c r="Y413" s="127">
        <v>16.253999999999998</v>
      </c>
      <c r="Z413" s="126">
        <f t="shared" si="33"/>
        <v>11.697800000000001</v>
      </c>
      <c r="AA413" s="159" t="s">
        <v>251</v>
      </c>
      <c r="AB413" s="367">
        <v>273</v>
      </c>
      <c r="AC413" s="365">
        <v>36</v>
      </c>
      <c r="AD413" s="162">
        <v>11.855999999999998</v>
      </c>
      <c r="AE413" s="122">
        <f t="shared" si="34"/>
        <v>11.697800000000001</v>
      </c>
      <c r="AF413" s="159" t="s">
        <v>251</v>
      </c>
      <c r="AG413" s="367">
        <v>273</v>
      </c>
      <c r="AH413" s="365">
        <v>36</v>
      </c>
      <c r="AI413" s="162">
        <v>11.855999999999998</v>
      </c>
      <c r="AJ413" s="126">
        <f t="shared" si="35"/>
        <v>11.697800000000001</v>
      </c>
      <c r="AK413" s="159" t="s">
        <v>251</v>
      </c>
      <c r="AL413" s="367">
        <v>273</v>
      </c>
      <c r="AM413" s="365">
        <v>36</v>
      </c>
      <c r="AN413" s="162">
        <v>11.855999999999998</v>
      </c>
      <c r="AO413" s="126">
        <f t="shared" si="36"/>
        <v>11.697800000000001</v>
      </c>
      <c r="AP413" s="159" t="s">
        <v>251</v>
      </c>
      <c r="AQ413" s="367">
        <v>273</v>
      </c>
      <c r="AR413" s="365">
        <v>36</v>
      </c>
      <c r="AS413" s="162">
        <v>11.855999999999998</v>
      </c>
    </row>
    <row r="414" spans="11:45" x14ac:dyDescent="0.25">
      <c r="K414" s="161"/>
      <c r="L414" s="166"/>
      <c r="M414" s="166"/>
      <c r="N414" s="166"/>
      <c r="O414" s="166"/>
      <c r="P414" s="155"/>
      <c r="Q414" s="166"/>
      <c r="R414" s="166"/>
      <c r="S414" s="166"/>
      <c r="T414" s="166"/>
      <c r="U414" s="154">
        <f t="shared" si="32"/>
        <v>16.253999999999998</v>
      </c>
      <c r="V414" s="123" t="s">
        <v>168</v>
      </c>
      <c r="W414" s="368">
        <v>393</v>
      </c>
      <c r="X414" s="365">
        <v>30</v>
      </c>
      <c r="Y414" s="127">
        <v>16.692299999999999</v>
      </c>
      <c r="Z414" s="126">
        <f t="shared" si="33"/>
        <v>11.855999999999998</v>
      </c>
      <c r="AA414" s="59" t="s">
        <v>232</v>
      </c>
      <c r="AB414" s="367">
        <v>282</v>
      </c>
      <c r="AC414" s="365">
        <v>30</v>
      </c>
      <c r="AD414" s="127">
        <v>12.300499999999998</v>
      </c>
      <c r="AE414" s="122">
        <f t="shared" si="34"/>
        <v>11.855999999999998</v>
      </c>
      <c r="AF414" s="59" t="s">
        <v>232</v>
      </c>
      <c r="AG414" s="367">
        <v>282</v>
      </c>
      <c r="AH414" s="365">
        <v>30</v>
      </c>
      <c r="AI414" s="127">
        <v>12.300499999999998</v>
      </c>
      <c r="AJ414" s="126">
        <f t="shared" si="35"/>
        <v>11.855999999999998</v>
      </c>
      <c r="AK414" s="59" t="s">
        <v>232</v>
      </c>
      <c r="AL414" s="367">
        <v>282</v>
      </c>
      <c r="AM414" s="365">
        <v>30</v>
      </c>
      <c r="AN414" s="127">
        <v>12.300499999999998</v>
      </c>
      <c r="AO414" s="126">
        <f t="shared" si="36"/>
        <v>11.855999999999998</v>
      </c>
      <c r="AP414" s="59" t="s">
        <v>232</v>
      </c>
      <c r="AQ414" s="367">
        <v>282</v>
      </c>
      <c r="AR414" s="365">
        <v>30</v>
      </c>
      <c r="AS414" s="127">
        <v>12.300499999999998</v>
      </c>
    </row>
    <row r="415" spans="11:45" x14ac:dyDescent="0.25">
      <c r="K415" s="161"/>
      <c r="L415" s="166"/>
      <c r="M415" s="166"/>
      <c r="N415" s="166"/>
      <c r="O415" s="166"/>
      <c r="P415" s="155"/>
      <c r="Q415" s="166"/>
      <c r="R415" s="166"/>
      <c r="S415" s="166"/>
      <c r="T415" s="166"/>
      <c r="U415" s="154">
        <f t="shared" si="32"/>
        <v>16.692299999999999</v>
      </c>
      <c r="V415" s="123" t="s">
        <v>169</v>
      </c>
      <c r="W415" s="368">
        <v>435</v>
      </c>
      <c r="X415" s="365">
        <v>30</v>
      </c>
      <c r="Y415" s="127">
        <v>17.728750000000002</v>
      </c>
      <c r="Z415" s="126">
        <f t="shared" si="33"/>
        <v>12.300499999999998</v>
      </c>
      <c r="AA415" s="59" t="s">
        <v>192</v>
      </c>
      <c r="AB415" s="367">
        <v>338</v>
      </c>
      <c r="AC415" s="365">
        <v>30</v>
      </c>
      <c r="AD415" s="127">
        <v>12.348000000000001</v>
      </c>
      <c r="AE415" s="122">
        <f t="shared" si="34"/>
        <v>12.300499999999998</v>
      </c>
      <c r="AF415" s="59" t="s">
        <v>192</v>
      </c>
      <c r="AG415" s="367">
        <v>338</v>
      </c>
      <c r="AH415" s="365">
        <v>30</v>
      </c>
      <c r="AI415" s="127">
        <v>12.348000000000001</v>
      </c>
      <c r="AJ415" s="126">
        <f t="shared" si="35"/>
        <v>12.300499999999998</v>
      </c>
      <c r="AK415" s="59" t="s">
        <v>192</v>
      </c>
      <c r="AL415" s="367">
        <v>338</v>
      </c>
      <c r="AM415" s="365">
        <v>30</v>
      </c>
      <c r="AN415" s="127">
        <v>12.348000000000001</v>
      </c>
      <c r="AO415" s="126">
        <f t="shared" si="36"/>
        <v>12.300499999999998</v>
      </c>
      <c r="AP415" s="59" t="s">
        <v>192</v>
      </c>
      <c r="AQ415" s="367">
        <v>338</v>
      </c>
      <c r="AR415" s="365">
        <v>30</v>
      </c>
      <c r="AS415" s="127">
        <v>12.348000000000001</v>
      </c>
    </row>
    <row r="416" spans="11:45" x14ac:dyDescent="0.25">
      <c r="K416" s="161"/>
      <c r="L416" s="166"/>
      <c r="M416" s="166"/>
      <c r="N416" s="166"/>
      <c r="O416" s="166"/>
      <c r="P416" s="155"/>
      <c r="Q416" s="166"/>
      <c r="R416" s="166"/>
      <c r="S416" s="166"/>
      <c r="T416" s="166"/>
      <c r="U416" s="154">
        <f t="shared" si="32"/>
        <v>17.728750000000002</v>
      </c>
      <c r="V416" s="59" t="s">
        <v>196</v>
      </c>
      <c r="W416" s="367">
        <v>506</v>
      </c>
      <c r="X416" s="365">
        <v>30</v>
      </c>
      <c r="Y416" s="127">
        <v>17.766000000000002</v>
      </c>
      <c r="Z416" s="126">
        <f t="shared" si="33"/>
        <v>12.348000000000001</v>
      </c>
      <c r="AA416" s="159" t="s">
        <v>263</v>
      </c>
      <c r="AB416" s="367">
        <v>291</v>
      </c>
      <c r="AC416" s="365">
        <v>36</v>
      </c>
      <c r="AD416" s="162">
        <v>12.408000000000003</v>
      </c>
      <c r="AE416" s="122">
        <f t="shared" si="34"/>
        <v>12.348000000000001</v>
      </c>
      <c r="AF416" s="159" t="s">
        <v>263</v>
      </c>
      <c r="AG416" s="367">
        <v>291</v>
      </c>
      <c r="AH416" s="365">
        <v>36</v>
      </c>
      <c r="AI416" s="162">
        <v>12.408000000000003</v>
      </c>
      <c r="AJ416" s="126">
        <f t="shared" si="35"/>
        <v>12.348000000000001</v>
      </c>
      <c r="AK416" s="159" t="s">
        <v>263</v>
      </c>
      <c r="AL416" s="367">
        <v>291</v>
      </c>
      <c r="AM416" s="365">
        <v>36</v>
      </c>
      <c r="AN416" s="162">
        <v>12.408000000000003</v>
      </c>
      <c r="AO416" s="126">
        <f t="shared" si="36"/>
        <v>12.348000000000001</v>
      </c>
      <c r="AP416" s="159" t="s">
        <v>263</v>
      </c>
      <c r="AQ416" s="367">
        <v>291</v>
      </c>
      <c r="AR416" s="365">
        <v>36</v>
      </c>
      <c r="AS416" s="162">
        <v>12.408000000000003</v>
      </c>
    </row>
    <row r="417" spans="11:45" x14ac:dyDescent="0.25">
      <c r="K417" s="161"/>
      <c r="L417" s="166"/>
      <c r="M417" s="166"/>
      <c r="N417" s="166"/>
      <c r="O417" s="166"/>
      <c r="P417" s="155"/>
      <c r="Q417" s="166"/>
      <c r="R417" s="166"/>
      <c r="S417" s="166"/>
      <c r="T417" s="166"/>
      <c r="U417" s="154">
        <f t="shared" si="32"/>
        <v>17.766000000000002</v>
      </c>
      <c r="V417" s="59" t="s">
        <v>236</v>
      </c>
      <c r="W417" s="367">
        <v>419</v>
      </c>
      <c r="X417" s="365">
        <v>30</v>
      </c>
      <c r="Y417" s="127">
        <v>17.861000000000001</v>
      </c>
      <c r="Z417" s="126">
        <f t="shared" si="33"/>
        <v>12.408000000000003</v>
      </c>
      <c r="AA417" s="159" t="s">
        <v>261</v>
      </c>
      <c r="AB417" s="367">
        <v>245</v>
      </c>
      <c r="AC417" s="365">
        <v>36</v>
      </c>
      <c r="AD417" s="162">
        <v>12.413500000000001</v>
      </c>
      <c r="AE417" s="122">
        <f t="shared" si="34"/>
        <v>12.408000000000003</v>
      </c>
      <c r="AF417" s="159" t="s">
        <v>261</v>
      </c>
      <c r="AG417" s="367">
        <v>245</v>
      </c>
      <c r="AH417" s="365">
        <v>36</v>
      </c>
      <c r="AI417" s="162">
        <v>12.413500000000001</v>
      </c>
      <c r="AJ417" s="126">
        <f t="shared" si="35"/>
        <v>12.408000000000003</v>
      </c>
      <c r="AK417" s="159" t="s">
        <v>261</v>
      </c>
      <c r="AL417" s="367">
        <v>245</v>
      </c>
      <c r="AM417" s="365">
        <v>36</v>
      </c>
      <c r="AN417" s="162">
        <v>12.413500000000001</v>
      </c>
      <c r="AO417" s="126">
        <f t="shared" si="36"/>
        <v>12.408000000000003</v>
      </c>
      <c r="AP417" s="159" t="s">
        <v>261</v>
      </c>
      <c r="AQ417" s="367">
        <v>245</v>
      </c>
      <c r="AR417" s="365">
        <v>36</v>
      </c>
      <c r="AS417" s="162">
        <v>12.413500000000001</v>
      </c>
    </row>
    <row r="418" spans="11:45" x14ac:dyDescent="0.25">
      <c r="K418" s="161"/>
      <c r="L418" s="166"/>
      <c r="M418" s="166"/>
      <c r="N418" s="166"/>
      <c r="O418" s="166"/>
      <c r="P418" s="155"/>
      <c r="Q418" s="166"/>
      <c r="R418" s="166"/>
      <c r="S418" s="166"/>
      <c r="T418" s="166"/>
      <c r="U418" s="154">
        <f t="shared" si="32"/>
        <v>17.861000000000001</v>
      </c>
      <c r="V418" s="123" t="s">
        <v>170</v>
      </c>
      <c r="W418" s="368">
        <v>483</v>
      </c>
      <c r="X418" s="365">
        <v>30</v>
      </c>
      <c r="Y418" s="127">
        <v>19.36525</v>
      </c>
      <c r="Z418" s="126">
        <f t="shared" si="33"/>
        <v>12.413500000000001</v>
      </c>
      <c r="AA418" s="159" t="s">
        <v>279</v>
      </c>
      <c r="AB418" s="367">
        <v>243</v>
      </c>
      <c r="AC418" s="365">
        <v>36</v>
      </c>
      <c r="AD418" s="162">
        <v>12.460700000000001</v>
      </c>
      <c r="AE418" s="122">
        <f t="shared" si="34"/>
        <v>12.413500000000001</v>
      </c>
      <c r="AF418" s="159" t="s">
        <v>279</v>
      </c>
      <c r="AG418" s="367">
        <v>243</v>
      </c>
      <c r="AH418" s="365">
        <v>36</v>
      </c>
      <c r="AI418" s="162">
        <v>12.460700000000001</v>
      </c>
      <c r="AJ418" s="126">
        <f t="shared" si="35"/>
        <v>12.413500000000001</v>
      </c>
      <c r="AK418" s="159" t="s">
        <v>279</v>
      </c>
      <c r="AL418" s="367">
        <v>243</v>
      </c>
      <c r="AM418" s="365">
        <v>36</v>
      </c>
      <c r="AN418" s="162">
        <v>12.460700000000001</v>
      </c>
      <c r="AO418" s="126">
        <f t="shared" si="36"/>
        <v>12.413500000000001</v>
      </c>
      <c r="AP418" s="159" t="s">
        <v>279</v>
      </c>
      <c r="AQ418" s="367">
        <v>243</v>
      </c>
      <c r="AR418" s="365">
        <v>36</v>
      </c>
      <c r="AS418" s="162">
        <v>12.460700000000001</v>
      </c>
    </row>
    <row r="419" spans="11:45" ht="15.75" thickBot="1" x14ac:dyDescent="0.3">
      <c r="K419" s="161"/>
      <c r="L419" s="166"/>
      <c r="M419" s="166"/>
      <c r="N419" s="166"/>
      <c r="O419" s="166"/>
      <c r="P419" s="155"/>
      <c r="Q419" s="166"/>
      <c r="R419" s="166"/>
      <c r="S419" s="166"/>
      <c r="T419" s="166"/>
      <c r="U419" s="154">
        <f t="shared" si="32"/>
        <v>19.36525</v>
      </c>
      <c r="V419" s="72" t="s">
        <v>197</v>
      </c>
      <c r="W419" s="374">
        <v>559</v>
      </c>
      <c r="X419" s="369">
        <v>30</v>
      </c>
      <c r="Y419" s="203">
        <v>19.403999999999996</v>
      </c>
      <c r="Z419" s="126">
        <f t="shared" si="33"/>
        <v>12.460700000000001</v>
      </c>
      <c r="AA419" s="159" t="s">
        <v>252</v>
      </c>
      <c r="AB419" s="367">
        <v>295</v>
      </c>
      <c r="AC419" s="365">
        <v>36</v>
      </c>
      <c r="AD419" s="162">
        <v>12.843999999999999</v>
      </c>
      <c r="AE419" s="122">
        <f t="shared" si="34"/>
        <v>12.460700000000001</v>
      </c>
      <c r="AF419" s="159" t="s">
        <v>252</v>
      </c>
      <c r="AG419" s="367">
        <v>295</v>
      </c>
      <c r="AH419" s="365">
        <v>36</v>
      </c>
      <c r="AI419" s="162">
        <v>12.843999999999999</v>
      </c>
      <c r="AJ419" s="126">
        <f t="shared" si="35"/>
        <v>12.460700000000001</v>
      </c>
      <c r="AK419" s="159" t="s">
        <v>252</v>
      </c>
      <c r="AL419" s="367">
        <v>295</v>
      </c>
      <c r="AM419" s="365">
        <v>36</v>
      </c>
      <c r="AN419" s="162">
        <v>12.843999999999999</v>
      </c>
      <c r="AO419" s="126">
        <f t="shared" si="36"/>
        <v>12.460700000000001</v>
      </c>
      <c r="AP419" s="159" t="s">
        <v>252</v>
      </c>
      <c r="AQ419" s="367">
        <v>295</v>
      </c>
      <c r="AR419" s="365">
        <v>36</v>
      </c>
      <c r="AS419" s="162">
        <v>12.843999999999999</v>
      </c>
    </row>
    <row r="420" spans="11:45" ht="15.75" thickBot="1" x14ac:dyDescent="0.3">
      <c r="K420" s="161"/>
      <c r="L420" s="166"/>
      <c r="M420" s="166"/>
      <c r="N420" s="166"/>
      <c r="O420" s="166"/>
      <c r="P420" s="155"/>
      <c r="Q420" s="166"/>
      <c r="R420" s="166"/>
      <c r="S420" s="166"/>
      <c r="T420" s="166"/>
      <c r="U420" s="165">
        <f t="shared" si="32"/>
        <v>19.403999999999996</v>
      </c>
      <c r="V420" s="80" t="s">
        <v>353</v>
      </c>
      <c r="W420" s="153"/>
      <c r="X420" s="153"/>
      <c r="Y420" s="377"/>
      <c r="Z420" s="154">
        <f t="shared" si="33"/>
        <v>12.843999999999999</v>
      </c>
      <c r="AA420" s="123" t="s">
        <v>165</v>
      </c>
      <c r="AB420" s="368">
        <v>292</v>
      </c>
      <c r="AC420" s="365">
        <v>30</v>
      </c>
      <c r="AD420" s="127">
        <v>12.873799999999999</v>
      </c>
      <c r="AE420" s="122">
        <f t="shared" si="34"/>
        <v>12.843999999999999</v>
      </c>
      <c r="AF420" s="123" t="s">
        <v>165</v>
      </c>
      <c r="AG420" s="368">
        <v>292</v>
      </c>
      <c r="AH420" s="365">
        <v>30</v>
      </c>
      <c r="AI420" s="127">
        <v>12.873799999999999</v>
      </c>
      <c r="AJ420" s="126">
        <f t="shared" si="35"/>
        <v>12.843999999999999</v>
      </c>
      <c r="AK420" s="123" t="s">
        <v>165</v>
      </c>
      <c r="AL420" s="368">
        <v>292</v>
      </c>
      <c r="AM420" s="365">
        <v>30</v>
      </c>
      <c r="AN420" s="127">
        <v>12.873799999999999</v>
      </c>
      <c r="AO420" s="126">
        <f t="shared" si="36"/>
        <v>12.843999999999999</v>
      </c>
      <c r="AP420" s="123" t="s">
        <v>165</v>
      </c>
      <c r="AQ420" s="368">
        <v>292</v>
      </c>
      <c r="AR420" s="365">
        <v>30</v>
      </c>
      <c r="AS420" s="127">
        <v>12.873799999999999</v>
      </c>
    </row>
    <row r="421" spans="11:45" x14ac:dyDescent="0.25">
      <c r="K421" s="161"/>
      <c r="L421" s="166"/>
      <c r="M421" s="166"/>
      <c r="N421" s="166"/>
      <c r="O421" s="166"/>
      <c r="P421" s="155"/>
      <c r="Q421" s="166"/>
      <c r="R421" s="166"/>
      <c r="S421" s="166"/>
      <c r="T421" s="166"/>
      <c r="U421" s="166"/>
      <c r="V421" s="166"/>
      <c r="W421" s="166"/>
      <c r="X421" s="166"/>
      <c r="Y421" s="166"/>
      <c r="Z421" s="154">
        <f t="shared" si="33"/>
        <v>12.873799999999999</v>
      </c>
      <c r="AA421" s="159" t="s">
        <v>280</v>
      </c>
      <c r="AB421" s="367">
        <v>267</v>
      </c>
      <c r="AC421" s="365">
        <v>36</v>
      </c>
      <c r="AD421" s="162">
        <v>13.096450000000001</v>
      </c>
      <c r="AE421" s="122">
        <f t="shared" si="34"/>
        <v>12.873799999999999</v>
      </c>
      <c r="AF421" s="159" t="s">
        <v>280</v>
      </c>
      <c r="AG421" s="367">
        <v>267</v>
      </c>
      <c r="AH421" s="365">
        <v>36</v>
      </c>
      <c r="AI421" s="162">
        <v>13.096450000000001</v>
      </c>
      <c r="AJ421" s="126">
        <f t="shared" si="35"/>
        <v>12.873799999999999</v>
      </c>
      <c r="AK421" s="159" t="s">
        <v>280</v>
      </c>
      <c r="AL421" s="367">
        <v>267</v>
      </c>
      <c r="AM421" s="365">
        <v>36</v>
      </c>
      <c r="AN421" s="162">
        <v>13.096450000000001</v>
      </c>
      <c r="AO421" s="126">
        <f t="shared" si="36"/>
        <v>12.873799999999999</v>
      </c>
      <c r="AP421" s="159" t="s">
        <v>280</v>
      </c>
      <c r="AQ421" s="367">
        <v>267</v>
      </c>
      <c r="AR421" s="365">
        <v>36</v>
      </c>
      <c r="AS421" s="162">
        <v>13.096450000000001</v>
      </c>
    </row>
    <row r="422" spans="11:45" x14ac:dyDescent="0.25">
      <c r="K422" s="161"/>
      <c r="L422" s="166"/>
      <c r="M422" s="166"/>
      <c r="N422" s="166"/>
      <c r="O422" s="166"/>
      <c r="P422" s="155"/>
      <c r="Q422" s="166"/>
      <c r="R422" s="166"/>
      <c r="S422" s="166"/>
      <c r="T422" s="166"/>
      <c r="U422" s="166"/>
      <c r="V422" s="166"/>
      <c r="W422" s="166"/>
      <c r="X422" s="166"/>
      <c r="Y422" s="166"/>
      <c r="Z422" s="154">
        <f t="shared" si="33"/>
        <v>13.096450000000001</v>
      </c>
      <c r="AA422" s="59" t="s">
        <v>193</v>
      </c>
      <c r="AB422" s="367">
        <v>375</v>
      </c>
      <c r="AC422" s="365">
        <v>30</v>
      </c>
      <c r="AD422" s="127">
        <v>13.482000000000001</v>
      </c>
      <c r="AE422" s="122">
        <f t="shared" si="34"/>
        <v>13.096450000000001</v>
      </c>
      <c r="AF422" s="167" t="s">
        <v>296</v>
      </c>
      <c r="AG422" s="365">
        <v>245</v>
      </c>
      <c r="AH422" s="365">
        <v>42</v>
      </c>
      <c r="AI422" s="127">
        <v>13.3057</v>
      </c>
      <c r="AJ422" s="126">
        <f t="shared" si="35"/>
        <v>13.096450000000001</v>
      </c>
      <c r="AK422" s="159" t="s">
        <v>296</v>
      </c>
      <c r="AL422" s="367">
        <v>245</v>
      </c>
      <c r="AM422" s="365">
        <v>42</v>
      </c>
      <c r="AN422" s="162">
        <v>13.3057</v>
      </c>
      <c r="AO422" s="126">
        <f t="shared" si="36"/>
        <v>13.096450000000001</v>
      </c>
      <c r="AP422" s="159" t="s">
        <v>296</v>
      </c>
      <c r="AQ422" s="367">
        <v>245</v>
      </c>
      <c r="AR422" s="365">
        <v>42</v>
      </c>
      <c r="AS422" s="162">
        <v>13.3057</v>
      </c>
    </row>
    <row r="423" spans="11:45" x14ac:dyDescent="0.25">
      <c r="K423" s="161"/>
      <c r="L423" s="166"/>
      <c r="M423" s="166"/>
      <c r="N423" s="166"/>
      <c r="O423" s="166"/>
      <c r="P423" s="155"/>
      <c r="Q423" s="166"/>
      <c r="R423" s="166"/>
      <c r="S423" s="166"/>
      <c r="T423" s="166"/>
      <c r="U423" s="166"/>
      <c r="V423" s="166"/>
      <c r="W423" s="166"/>
      <c r="X423" s="166"/>
      <c r="Y423" s="166"/>
      <c r="Z423" s="154">
        <f t="shared" si="33"/>
        <v>13.482000000000001</v>
      </c>
      <c r="AA423" s="59" t="s">
        <v>233</v>
      </c>
      <c r="AB423" s="367">
        <v>310</v>
      </c>
      <c r="AC423" s="365">
        <v>30</v>
      </c>
      <c r="AD423" s="127">
        <v>13.640400000000001</v>
      </c>
      <c r="AE423" s="122">
        <f t="shared" si="34"/>
        <v>13.3057</v>
      </c>
      <c r="AF423" s="59" t="s">
        <v>193</v>
      </c>
      <c r="AG423" s="367">
        <v>375</v>
      </c>
      <c r="AH423" s="365">
        <v>30</v>
      </c>
      <c r="AI423" s="127">
        <v>13.482000000000001</v>
      </c>
      <c r="AJ423" s="126">
        <f t="shared" si="35"/>
        <v>13.3057</v>
      </c>
      <c r="AK423" s="59" t="s">
        <v>193</v>
      </c>
      <c r="AL423" s="367">
        <v>375</v>
      </c>
      <c r="AM423" s="365">
        <v>30</v>
      </c>
      <c r="AN423" s="127">
        <v>13.482000000000001</v>
      </c>
      <c r="AO423" s="126">
        <f t="shared" si="36"/>
        <v>13.3057</v>
      </c>
      <c r="AP423" s="59" t="s">
        <v>193</v>
      </c>
      <c r="AQ423" s="367">
        <v>375</v>
      </c>
      <c r="AR423" s="365">
        <v>30</v>
      </c>
      <c r="AS423" s="127">
        <v>13.482000000000001</v>
      </c>
    </row>
    <row r="424" spans="11:45" x14ac:dyDescent="0.25">
      <c r="K424" s="161"/>
      <c r="L424" s="166"/>
      <c r="M424" s="166"/>
      <c r="N424" s="166"/>
      <c r="O424" s="166"/>
      <c r="P424" s="155"/>
      <c r="Q424" s="166"/>
      <c r="R424" s="166"/>
      <c r="S424" s="166"/>
      <c r="T424" s="166"/>
      <c r="U424" s="166"/>
      <c r="V424" s="166"/>
      <c r="W424" s="166"/>
      <c r="X424" s="166"/>
      <c r="Y424" s="166"/>
      <c r="Z424" s="154">
        <f t="shared" si="33"/>
        <v>13.640400000000001</v>
      </c>
      <c r="AA424" s="159" t="s">
        <v>264</v>
      </c>
      <c r="AB424" s="367">
        <v>329</v>
      </c>
      <c r="AC424" s="365">
        <v>36</v>
      </c>
      <c r="AD424" s="162">
        <v>13.648800000000001</v>
      </c>
      <c r="AE424" s="122">
        <f t="shared" si="34"/>
        <v>13.482000000000001</v>
      </c>
      <c r="AF424" s="59" t="s">
        <v>233</v>
      </c>
      <c r="AG424" s="367">
        <v>310</v>
      </c>
      <c r="AH424" s="365">
        <v>30</v>
      </c>
      <c r="AI424" s="127">
        <v>13.640400000000001</v>
      </c>
      <c r="AJ424" s="126">
        <f t="shared" si="35"/>
        <v>13.482000000000001</v>
      </c>
      <c r="AK424" s="59" t="s">
        <v>233</v>
      </c>
      <c r="AL424" s="367">
        <v>310</v>
      </c>
      <c r="AM424" s="365">
        <v>30</v>
      </c>
      <c r="AN424" s="127">
        <v>13.640400000000001</v>
      </c>
      <c r="AO424" s="126">
        <f t="shared" si="36"/>
        <v>13.482000000000001</v>
      </c>
      <c r="AP424" s="59" t="s">
        <v>233</v>
      </c>
      <c r="AQ424" s="367">
        <v>310</v>
      </c>
      <c r="AR424" s="365">
        <v>30</v>
      </c>
      <c r="AS424" s="127">
        <v>13.640400000000001</v>
      </c>
    </row>
    <row r="425" spans="11:45" x14ac:dyDescent="0.25">
      <c r="K425" s="161"/>
      <c r="L425" s="166"/>
      <c r="M425" s="166"/>
      <c r="N425" s="166"/>
      <c r="O425" s="166"/>
      <c r="P425" s="155"/>
      <c r="Q425" s="166"/>
      <c r="R425" s="166"/>
      <c r="S425" s="166"/>
      <c r="T425" s="166"/>
      <c r="U425" s="166"/>
      <c r="V425" s="166"/>
      <c r="W425" s="166"/>
      <c r="X425" s="166"/>
      <c r="Y425" s="166"/>
      <c r="Z425" s="154">
        <f t="shared" si="33"/>
        <v>13.648800000000001</v>
      </c>
      <c r="AA425" s="123" t="s">
        <v>166</v>
      </c>
      <c r="AB425" s="368">
        <v>321</v>
      </c>
      <c r="AC425" s="365">
        <v>30</v>
      </c>
      <c r="AD425" s="127">
        <v>14.019349999999999</v>
      </c>
      <c r="AE425" s="122">
        <f t="shared" si="34"/>
        <v>13.640400000000001</v>
      </c>
      <c r="AF425" s="159" t="s">
        <v>264</v>
      </c>
      <c r="AG425" s="367">
        <v>329</v>
      </c>
      <c r="AH425" s="365">
        <v>36</v>
      </c>
      <c r="AI425" s="162">
        <v>13.648800000000001</v>
      </c>
      <c r="AJ425" s="126">
        <f t="shared" si="35"/>
        <v>13.640400000000001</v>
      </c>
      <c r="AK425" s="159" t="s">
        <v>264</v>
      </c>
      <c r="AL425" s="367">
        <v>329</v>
      </c>
      <c r="AM425" s="365">
        <v>36</v>
      </c>
      <c r="AN425" s="162">
        <v>13.648800000000001</v>
      </c>
      <c r="AO425" s="126">
        <f t="shared" si="36"/>
        <v>13.640400000000001</v>
      </c>
      <c r="AP425" s="159" t="s">
        <v>264</v>
      </c>
      <c r="AQ425" s="367">
        <v>329</v>
      </c>
      <c r="AR425" s="365">
        <v>36</v>
      </c>
      <c r="AS425" s="162">
        <v>13.648800000000001</v>
      </c>
    </row>
    <row r="426" spans="11:45" x14ac:dyDescent="0.25">
      <c r="K426" s="161"/>
      <c r="L426" s="166"/>
      <c r="M426" s="166"/>
      <c r="N426" s="166"/>
      <c r="O426" s="166"/>
      <c r="P426" s="155"/>
      <c r="Q426" s="166"/>
      <c r="R426" s="166"/>
      <c r="S426" s="166"/>
      <c r="T426" s="166"/>
      <c r="U426" s="166"/>
      <c r="V426" s="166"/>
      <c r="W426" s="166"/>
      <c r="X426" s="166"/>
      <c r="Y426" s="166"/>
      <c r="Z426" s="154">
        <f t="shared" si="33"/>
        <v>14.019349999999999</v>
      </c>
      <c r="AA426" s="159" t="s">
        <v>253</v>
      </c>
      <c r="AB426" s="367">
        <v>329</v>
      </c>
      <c r="AC426" s="365">
        <v>36</v>
      </c>
      <c r="AD426" s="162">
        <v>14.227199999999998</v>
      </c>
      <c r="AE426" s="122">
        <f t="shared" si="34"/>
        <v>13.648800000000001</v>
      </c>
      <c r="AF426" s="123" t="s">
        <v>166</v>
      </c>
      <c r="AG426" s="368">
        <v>321</v>
      </c>
      <c r="AH426" s="365">
        <v>30</v>
      </c>
      <c r="AI426" s="127">
        <v>14.019349999999999</v>
      </c>
      <c r="AJ426" s="126">
        <f t="shared" si="35"/>
        <v>13.648800000000001</v>
      </c>
      <c r="AK426" s="123" t="s">
        <v>166</v>
      </c>
      <c r="AL426" s="368">
        <v>321</v>
      </c>
      <c r="AM426" s="365">
        <v>30</v>
      </c>
      <c r="AN426" s="127">
        <v>14.019349999999999</v>
      </c>
      <c r="AO426" s="126">
        <f t="shared" si="36"/>
        <v>13.648800000000001</v>
      </c>
      <c r="AP426" s="123" t="s">
        <v>166</v>
      </c>
      <c r="AQ426" s="368">
        <v>321</v>
      </c>
      <c r="AR426" s="365">
        <v>30</v>
      </c>
      <c r="AS426" s="127">
        <v>14.019349999999999</v>
      </c>
    </row>
    <row r="427" spans="11:45" x14ac:dyDescent="0.25">
      <c r="K427" s="161"/>
      <c r="L427" s="166"/>
      <c r="M427" s="166"/>
      <c r="N427" s="166"/>
      <c r="O427" s="166"/>
      <c r="P427" s="155"/>
      <c r="Q427" s="166"/>
      <c r="R427" s="166"/>
      <c r="S427" s="166"/>
      <c r="T427" s="166"/>
      <c r="U427" s="166"/>
      <c r="V427" s="166"/>
      <c r="W427" s="166"/>
      <c r="X427" s="166"/>
      <c r="Y427" s="166"/>
      <c r="Z427" s="154">
        <f t="shared" si="33"/>
        <v>14.227199999999998</v>
      </c>
      <c r="AA427" s="159" t="s">
        <v>281</v>
      </c>
      <c r="AB427" s="367">
        <v>299</v>
      </c>
      <c r="AC427" s="365">
        <v>36</v>
      </c>
      <c r="AD427" s="162">
        <v>14.495099999999999</v>
      </c>
      <c r="AE427" s="122">
        <f t="shared" si="34"/>
        <v>14.019349999999999</v>
      </c>
      <c r="AF427" s="159" t="s">
        <v>253</v>
      </c>
      <c r="AG427" s="367">
        <v>329</v>
      </c>
      <c r="AH427" s="365">
        <v>36</v>
      </c>
      <c r="AI427" s="162">
        <v>14.227199999999998</v>
      </c>
      <c r="AJ427" s="126">
        <f t="shared" si="35"/>
        <v>14.019349999999999</v>
      </c>
      <c r="AK427" s="159" t="s">
        <v>253</v>
      </c>
      <c r="AL427" s="367">
        <v>329</v>
      </c>
      <c r="AM427" s="365">
        <v>36</v>
      </c>
      <c r="AN427" s="162">
        <v>14.227199999999998</v>
      </c>
      <c r="AO427" s="126">
        <f t="shared" si="36"/>
        <v>14.019349999999999</v>
      </c>
      <c r="AP427" s="159" t="s">
        <v>253</v>
      </c>
      <c r="AQ427" s="367">
        <v>329</v>
      </c>
      <c r="AR427" s="365">
        <v>36</v>
      </c>
      <c r="AS427" s="162">
        <v>14.227199999999998</v>
      </c>
    </row>
    <row r="428" spans="11:45" x14ac:dyDescent="0.25">
      <c r="K428" s="161"/>
      <c r="L428" s="166"/>
      <c r="M428" s="166"/>
      <c r="N428" s="166"/>
      <c r="O428" s="166"/>
      <c r="P428" s="155"/>
      <c r="Q428" s="166"/>
      <c r="R428" s="166"/>
      <c r="S428" s="166"/>
      <c r="T428" s="166"/>
      <c r="U428" s="166"/>
      <c r="V428" s="166"/>
      <c r="W428" s="166"/>
      <c r="X428" s="166"/>
      <c r="Y428" s="166"/>
      <c r="Z428" s="154">
        <f t="shared" si="33"/>
        <v>14.495099999999999</v>
      </c>
      <c r="AA428" s="159" t="s">
        <v>265</v>
      </c>
      <c r="AB428" s="367">
        <v>371</v>
      </c>
      <c r="AC428" s="365">
        <v>36</v>
      </c>
      <c r="AD428" s="162">
        <v>14.664</v>
      </c>
      <c r="AE428" s="122">
        <f t="shared" si="34"/>
        <v>14.227199999999998</v>
      </c>
      <c r="AF428" s="159" t="s">
        <v>281</v>
      </c>
      <c r="AG428" s="367">
        <v>299</v>
      </c>
      <c r="AH428" s="365">
        <v>36</v>
      </c>
      <c r="AI428" s="162">
        <v>14.495099999999999</v>
      </c>
      <c r="AJ428" s="126">
        <f t="shared" si="35"/>
        <v>14.227199999999998</v>
      </c>
      <c r="AK428" s="159" t="s">
        <v>281</v>
      </c>
      <c r="AL428" s="367">
        <v>299</v>
      </c>
      <c r="AM428" s="365">
        <v>36</v>
      </c>
      <c r="AN428" s="162">
        <v>14.495099999999999</v>
      </c>
      <c r="AO428" s="126">
        <f t="shared" si="36"/>
        <v>14.227199999999998</v>
      </c>
      <c r="AP428" s="159" t="s">
        <v>281</v>
      </c>
      <c r="AQ428" s="367">
        <v>299</v>
      </c>
      <c r="AR428" s="365">
        <v>36</v>
      </c>
      <c r="AS428" s="162">
        <v>14.495099999999999</v>
      </c>
    </row>
    <row r="429" spans="11:45" x14ac:dyDescent="0.25">
      <c r="K429" s="161"/>
      <c r="L429" s="166"/>
      <c r="M429" s="166"/>
      <c r="N429" s="166"/>
      <c r="O429" s="166"/>
      <c r="P429" s="155"/>
      <c r="Q429" s="166"/>
      <c r="R429" s="166"/>
      <c r="S429" s="166"/>
      <c r="T429" s="166"/>
      <c r="U429" s="166"/>
      <c r="V429" s="166"/>
      <c r="W429" s="166"/>
      <c r="X429" s="166"/>
      <c r="Y429" s="166"/>
      <c r="Z429" s="154">
        <f t="shared" si="33"/>
        <v>14.664</v>
      </c>
      <c r="AA429" s="59" t="s">
        <v>194</v>
      </c>
      <c r="AB429" s="367">
        <v>415</v>
      </c>
      <c r="AC429" s="365">
        <v>30</v>
      </c>
      <c r="AD429" s="127">
        <v>14.805</v>
      </c>
      <c r="AE429" s="122">
        <f t="shared" si="34"/>
        <v>14.495099999999999</v>
      </c>
      <c r="AF429" s="159" t="s">
        <v>265</v>
      </c>
      <c r="AG429" s="367">
        <v>371</v>
      </c>
      <c r="AH429" s="365">
        <v>36</v>
      </c>
      <c r="AI429" s="162">
        <v>14.664</v>
      </c>
      <c r="AJ429" s="126">
        <f t="shared" si="35"/>
        <v>14.495099999999999</v>
      </c>
      <c r="AK429" s="159" t="s">
        <v>265</v>
      </c>
      <c r="AL429" s="367">
        <v>371</v>
      </c>
      <c r="AM429" s="365">
        <v>36</v>
      </c>
      <c r="AN429" s="162">
        <v>14.664</v>
      </c>
      <c r="AO429" s="126">
        <f t="shared" si="36"/>
        <v>14.495099999999999</v>
      </c>
      <c r="AP429" s="159" t="s">
        <v>265</v>
      </c>
      <c r="AQ429" s="367">
        <v>371</v>
      </c>
      <c r="AR429" s="365">
        <v>36</v>
      </c>
      <c r="AS429" s="162">
        <v>14.664</v>
      </c>
    </row>
    <row r="430" spans="11:45" x14ac:dyDescent="0.25">
      <c r="K430" s="161"/>
      <c r="L430" s="166"/>
      <c r="M430" s="166"/>
      <c r="N430" s="166"/>
      <c r="O430" s="166"/>
      <c r="P430" s="155"/>
      <c r="Q430" s="166"/>
      <c r="R430" s="166"/>
      <c r="S430" s="166"/>
      <c r="T430" s="166"/>
      <c r="U430" s="166"/>
      <c r="V430" s="166"/>
      <c r="W430" s="166"/>
      <c r="X430" s="166"/>
      <c r="Y430" s="166"/>
      <c r="Z430" s="154">
        <f t="shared" si="33"/>
        <v>14.805</v>
      </c>
      <c r="AA430" s="159" t="s">
        <v>254</v>
      </c>
      <c r="AB430" s="367">
        <v>380</v>
      </c>
      <c r="AC430" s="365">
        <v>36</v>
      </c>
      <c r="AD430" s="162">
        <v>14.82</v>
      </c>
      <c r="AE430" s="122">
        <f t="shared" si="34"/>
        <v>14.664</v>
      </c>
      <c r="AF430" s="167" t="s">
        <v>297</v>
      </c>
      <c r="AG430" s="365">
        <v>269</v>
      </c>
      <c r="AH430" s="365">
        <v>42</v>
      </c>
      <c r="AI430" s="127">
        <v>14.7212</v>
      </c>
      <c r="AJ430" s="126">
        <f t="shared" si="35"/>
        <v>14.664</v>
      </c>
      <c r="AK430" s="159" t="s">
        <v>297</v>
      </c>
      <c r="AL430" s="367">
        <v>269</v>
      </c>
      <c r="AM430" s="365">
        <v>42</v>
      </c>
      <c r="AN430" s="162">
        <v>14.7212</v>
      </c>
      <c r="AO430" s="126">
        <f t="shared" si="36"/>
        <v>14.664</v>
      </c>
      <c r="AP430" s="159" t="s">
        <v>297</v>
      </c>
      <c r="AQ430" s="367">
        <v>269</v>
      </c>
      <c r="AR430" s="365">
        <v>42</v>
      </c>
      <c r="AS430" s="162">
        <v>14.7212</v>
      </c>
    </row>
    <row r="431" spans="11:45" x14ac:dyDescent="0.25">
      <c r="K431" s="161"/>
      <c r="L431" s="166"/>
      <c r="M431" s="166"/>
      <c r="N431" s="166"/>
      <c r="O431" s="166"/>
      <c r="P431" s="155"/>
      <c r="Q431" s="166"/>
      <c r="R431" s="166"/>
      <c r="S431" s="166"/>
      <c r="T431" s="166"/>
      <c r="U431" s="166"/>
      <c r="V431" s="166"/>
      <c r="W431" s="166"/>
      <c r="X431" s="166"/>
      <c r="Y431" s="166"/>
      <c r="Z431" s="154">
        <f t="shared" si="33"/>
        <v>14.82</v>
      </c>
      <c r="AA431" s="59" t="s">
        <v>234</v>
      </c>
      <c r="AB431" s="367">
        <v>344</v>
      </c>
      <c r="AC431" s="365">
        <v>30</v>
      </c>
      <c r="AD431" s="127">
        <v>15.0054</v>
      </c>
      <c r="AE431" s="122">
        <f t="shared" si="34"/>
        <v>14.7212</v>
      </c>
      <c r="AF431" s="59" t="s">
        <v>194</v>
      </c>
      <c r="AG431" s="367">
        <v>415</v>
      </c>
      <c r="AH431" s="365">
        <v>30</v>
      </c>
      <c r="AI431" s="127">
        <v>14.805</v>
      </c>
      <c r="AJ431" s="126">
        <f t="shared" si="35"/>
        <v>14.7212</v>
      </c>
      <c r="AK431" s="59" t="s">
        <v>194</v>
      </c>
      <c r="AL431" s="367">
        <v>415</v>
      </c>
      <c r="AM431" s="365">
        <v>30</v>
      </c>
      <c r="AN431" s="127">
        <v>14.805</v>
      </c>
      <c r="AO431" s="126">
        <f t="shared" si="36"/>
        <v>14.7212</v>
      </c>
      <c r="AP431" s="59" t="s">
        <v>194</v>
      </c>
      <c r="AQ431" s="367">
        <v>415</v>
      </c>
      <c r="AR431" s="365">
        <v>30</v>
      </c>
      <c r="AS431" s="127">
        <v>14.805</v>
      </c>
    </row>
    <row r="432" spans="11:45" x14ac:dyDescent="0.25">
      <c r="K432" s="161"/>
      <c r="L432" s="166"/>
      <c r="M432" s="166"/>
      <c r="N432" s="166"/>
      <c r="O432" s="166"/>
      <c r="P432" s="155"/>
      <c r="Q432" s="166"/>
      <c r="R432" s="166"/>
      <c r="S432" s="166"/>
      <c r="T432" s="166"/>
      <c r="U432" s="166"/>
      <c r="V432" s="166"/>
      <c r="W432" s="166"/>
      <c r="X432" s="166"/>
      <c r="Y432" s="166"/>
      <c r="Z432" s="154">
        <f t="shared" ref="Z432:Z462" si="37">AD431</f>
        <v>15.0054</v>
      </c>
      <c r="AA432" s="123" t="s">
        <v>167</v>
      </c>
      <c r="AB432" s="368">
        <v>353</v>
      </c>
      <c r="AC432" s="365">
        <v>30</v>
      </c>
      <c r="AD432" s="127">
        <v>15.21945</v>
      </c>
      <c r="AE432" s="122">
        <f t="shared" si="34"/>
        <v>14.805</v>
      </c>
      <c r="AF432" s="159" t="s">
        <v>254</v>
      </c>
      <c r="AG432" s="367">
        <v>380</v>
      </c>
      <c r="AH432" s="365">
        <v>36</v>
      </c>
      <c r="AI432" s="162">
        <v>14.82</v>
      </c>
      <c r="AJ432" s="126">
        <f t="shared" si="35"/>
        <v>14.805</v>
      </c>
      <c r="AK432" s="159" t="s">
        <v>254</v>
      </c>
      <c r="AL432" s="367">
        <v>380</v>
      </c>
      <c r="AM432" s="365">
        <v>36</v>
      </c>
      <c r="AN432" s="162">
        <v>14.82</v>
      </c>
      <c r="AO432" s="126">
        <f t="shared" si="36"/>
        <v>14.805</v>
      </c>
      <c r="AP432" s="159" t="s">
        <v>254</v>
      </c>
      <c r="AQ432" s="367">
        <v>380</v>
      </c>
      <c r="AR432" s="365">
        <v>36</v>
      </c>
      <c r="AS432" s="162">
        <v>14.82</v>
      </c>
    </row>
    <row r="433" spans="11:45" x14ac:dyDescent="0.25">
      <c r="K433" s="125"/>
      <c r="L433" s="166"/>
      <c r="M433" s="166"/>
      <c r="N433" s="166"/>
      <c r="O433" s="166"/>
      <c r="P433" s="155"/>
      <c r="Q433" s="166"/>
      <c r="R433" s="166"/>
      <c r="S433" s="166"/>
      <c r="T433" s="166"/>
      <c r="U433" s="166"/>
      <c r="V433" s="166"/>
      <c r="W433" s="166"/>
      <c r="X433" s="166"/>
      <c r="Y433" s="166"/>
      <c r="Z433" s="154">
        <f t="shared" si="37"/>
        <v>15.21945</v>
      </c>
      <c r="AA433" s="159" t="s">
        <v>282</v>
      </c>
      <c r="AB433" s="367">
        <v>345</v>
      </c>
      <c r="AC433" s="365">
        <v>36</v>
      </c>
      <c r="AD433" s="162">
        <v>15.5123</v>
      </c>
      <c r="AE433" s="122">
        <f t="shared" si="34"/>
        <v>14.82</v>
      </c>
      <c r="AF433" s="59" t="s">
        <v>234</v>
      </c>
      <c r="AG433" s="367">
        <v>344</v>
      </c>
      <c r="AH433" s="365">
        <v>30</v>
      </c>
      <c r="AI433" s="127">
        <v>15.0054</v>
      </c>
      <c r="AJ433" s="126">
        <f t="shared" si="35"/>
        <v>14.82</v>
      </c>
      <c r="AK433" s="59" t="s">
        <v>234</v>
      </c>
      <c r="AL433" s="367">
        <v>344</v>
      </c>
      <c r="AM433" s="365">
        <v>30</v>
      </c>
      <c r="AN433" s="127">
        <v>15.0054</v>
      </c>
      <c r="AO433" s="126">
        <f t="shared" si="36"/>
        <v>14.82</v>
      </c>
      <c r="AP433" s="59" t="s">
        <v>234</v>
      </c>
      <c r="AQ433" s="367">
        <v>344</v>
      </c>
      <c r="AR433" s="365">
        <v>30</v>
      </c>
      <c r="AS433" s="127">
        <v>15.0054</v>
      </c>
    </row>
    <row r="434" spans="11:45" x14ac:dyDescent="0.25">
      <c r="K434" s="161"/>
      <c r="L434" s="166"/>
      <c r="M434" s="166"/>
      <c r="N434" s="166"/>
      <c r="O434" s="166"/>
      <c r="P434" s="155"/>
      <c r="Q434" s="166"/>
      <c r="R434" s="166"/>
      <c r="S434" s="166"/>
      <c r="T434" s="166"/>
      <c r="U434" s="166"/>
      <c r="V434" s="166"/>
      <c r="W434" s="166"/>
      <c r="X434" s="166"/>
      <c r="Y434" s="166"/>
      <c r="Z434" s="154">
        <f t="shared" si="37"/>
        <v>15.5123</v>
      </c>
      <c r="AA434" s="159" t="s">
        <v>266</v>
      </c>
      <c r="AB434" s="367">
        <v>414</v>
      </c>
      <c r="AC434" s="365">
        <v>36</v>
      </c>
      <c r="AD434" s="162">
        <v>15.904799999999998</v>
      </c>
      <c r="AE434" s="122">
        <f t="shared" si="34"/>
        <v>15.0054</v>
      </c>
      <c r="AF434" s="123" t="s">
        <v>167</v>
      </c>
      <c r="AG434" s="368">
        <v>353</v>
      </c>
      <c r="AH434" s="365">
        <v>30</v>
      </c>
      <c r="AI434" s="127">
        <v>15.21945</v>
      </c>
      <c r="AJ434" s="126">
        <f t="shared" si="35"/>
        <v>15.0054</v>
      </c>
      <c r="AK434" s="123" t="s">
        <v>167</v>
      </c>
      <c r="AL434" s="368">
        <v>353</v>
      </c>
      <c r="AM434" s="365">
        <v>30</v>
      </c>
      <c r="AN434" s="127">
        <v>15.21945</v>
      </c>
      <c r="AO434" s="126">
        <f t="shared" si="36"/>
        <v>15.0054</v>
      </c>
      <c r="AP434" s="123" t="s">
        <v>167</v>
      </c>
      <c r="AQ434" s="368">
        <v>353</v>
      </c>
      <c r="AR434" s="365">
        <v>30</v>
      </c>
      <c r="AS434" s="127">
        <v>15.21945</v>
      </c>
    </row>
    <row r="435" spans="11:45" x14ac:dyDescent="0.25">
      <c r="K435" s="125"/>
      <c r="L435" s="166"/>
      <c r="M435" s="166"/>
      <c r="N435" s="166"/>
      <c r="O435" s="166"/>
      <c r="P435" s="155"/>
      <c r="Q435" s="166"/>
      <c r="R435" s="166"/>
      <c r="S435" s="166"/>
      <c r="T435" s="166"/>
      <c r="U435" s="166"/>
      <c r="V435" s="166"/>
      <c r="W435" s="166"/>
      <c r="X435" s="166"/>
      <c r="Y435" s="166"/>
      <c r="Z435" s="154">
        <f t="shared" si="37"/>
        <v>15.904799999999998</v>
      </c>
      <c r="AA435" s="59" t="s">
        <v>235</v>
      </c>
      <c r="AB435" s="367">
        <v>380</v>
      </c>
      <c r="AC435" s="365">
        <v>30</v>
      </c>
      <c r="AD435" s="127">
        <v>16.176000000000002</v>
      </c>
      <c r="AE435" s="122">
        <f t="shared" si="34"/>
        <v>15.21945</v>
      </c>
      <c r="AF435" s="167" t="s">
        <v>283</v>
      </c>
      <c r="AG435" s="365">
        <v>411</v>
      </c>
      <c r="AH435" s="365">
        <v>42</v>
      </c>
      <c r="AI435" s="127">
        <v>15.385149999999999</v>
      </c>
      <c r="AJ435" s="126">
        <f t="shared" si="35"/>
        <v>15.21945</v>
      </c>
      <c r="AK435" s="159" t="s">
        <v>283</v>
      </c>
      <c r="AL435" s="367">
        <v>411</v>
      </c>
      <c r="AM435" s="365">
        <v>42</v>
      </c>
      <c r="AN435" s="162">
        <v>15.385149999999999</v>
      </c>
      <c r="AO435" s="126">
        <f t="shared" si="36"/>
        <v>15.21945</v>
      </c>
      <c r="AP435" s="159" t="s">
        <v>283</v>
      </c>
      <c r="AQ435" s="367">
        <v>411</v>
      </c>
      <c r="AR435" s="365">
        <v>42</v>
      </c>
      <c r="AS435" s="162">
        <v>15.385149999999999</v>
      </c>
    </row>
    <row r="436" spans="11:45" x14ac:dyDescent="0.25">
      <c r="K436" s="161"/>
      <c r="L436" s="166"/>
      <c r="M436" s="166"/>
      <c r="N436" s="166"/>
      <c r="O436" s="166"/>
      <c r="P436" s="155"/>
      <c r="Q436" s="166"/>
      <c r="R436" s="166"/>
      <c r="S436" s="166"/>
      <c r="T436" s="166"/>
      <c r="U436" s="166"/>
      <c r="V436" s="166"/>
      <c r="W436" s="166"/>
      <c r="X436" s="166"/>
      <c r="Y436" s="166"/>
      <c r="Z436" s="154">
        <f t="shared" si="37"/>
        <v>16.176000000000002</v>
      </c>
      <c r="AA436" s="59" t="s">
        <v>195</v>
      </c>
      <c r="AB436" s="367">
        <v>459</v>
      </c>
      <c r="AC436" s="365">
        <v>30</v>
      </c>
      <c r="AD436" s="127">
        <v>16.253999999999998</v>
      </c>
      <c r="AE436" s="122">
        <f t="shared" si="34"/>
        <v>15.385149999999999</v>
      </c>
      <c r="AF436" s="167" t="s">
        <v>298</v>
      </c>
      <c r="AG436" s="365">
        <v>299</v>
      </c>
      <c r="AH436" s="365">
        <v>42</v>
      </c>
      <c r="AI436" s="127">
        <v>15.42895</v>
      </c>
      <c r="AJ436" s="126">
        <f t="shared" si="35"/>
        <v>15.385149999999999</v>
      </c>
      <c r="AK436" s="159" t="s">
        <v>298</v>
      </c>
      <c r="AL436" s="367">
        <v>299</v>
      </c>
      <c r="AM436" s="365">
        <v>42</v>
      </c>
      <c r="AN436" s="162">
        <v>15.42895</v>
      </c>
      <c r="AO436" s="126">
        <f t="shared" si="36"/>
        <v>15.385149999999999</v>
      </c>
      <c r="AP436" s="159" t="s">
        <v>298</v>
      </c>
      <c r="AQ436" s="367">
        <v>299</v>
      </c>
      <c r="AR436" s="365">
        <v>42</v>
      </c>
      <c r="AS436" s="162">
        <v>15.42895</v>
      </c>
    </row>
    <row r="437" spans="11:45" x14ac:dyDescent="0.25">
      <c r="K437" s="125"/>
      <c r="L437" s="166"/>
      <c r="M437" s="166"/>
      <c r="N437" s="166"/>
      <c r="O437" s="166"/>
      <c r="P437" s="155"/>
      <c r="Q437" s="166"/>
      <c r="R437" s="166"/>
      <c r="S437" s="166"/>
      <c r="T437" s="166"/>
      <c r="U437" s="166"/>
      <c r="V437" s="166"/>
      <c r="W437" s="166"/>
      <c r="X437" s="166"/>
      <c r="Y437" s="166"/>
      <c r="Z437" s="154">
        <f t="shared" si="37"/>
        <v>16.253999999999998</v>
      </c>
      <c r="AA437" s="123" t="s">
        <v>168</v>
      </c>
      <c r="AB437" s="368">
        <v>393</v>
      </c>
      <c r="AC437" s="365">
        <v>30</v>
      </c>
      <c r="AD437" s="127">
        <v>16.692299999999999</v>
      </c>
      <c r="AE437" s="122">
        <f t="shared" si="34"/>
        <v>15.42895</v>
      </c>
      <c r="AF437" s="159" t="s">
        <v>282</v>
      </c>
      <c r="AG437" s="367">
        <v>345</v>
      </c>
      <c r="AH437" s="365">
        <v>36</v>
      </c>
      <c r="AI437" s="162">
        <v>15.5123</v>
      </c>
      <c r="AJ437" s="126">
        <f t="shared" si="35"/>
        <v>15.42895</v>
      </c>
      <c r="AK437" s="159" t="s">
        <v>282</v>
      </c>
      <c r="AL437" s="367">
        <v>345</v>
      </c>
      <c r="AM437" s="365">
        <v>36</v>
      </c>
      <c r="AN437" s="162">
        <v>15.5123</v>
      </c>
      <c r="AO437" s="126">
        <f t="shared" si="36"/>
        <v>15.42895</v>
      </c>
      <c r="AP437" s="159" t="s">
        <v>282</v>
      </c>
      <c r="AQ437" s="367">
        <v>345</v>
      </c>
      <c r="AR437" s="365">
        <v>36</v>
      </c>
      <c r="AS437" s="162">
        <v>15.5123</v>
      </c>
    </row>
    <row r="438" spans="11:45" x14ac:dyDescent="0.25">
      <c r="K438" s="161"/>
      <c r="L438" s="166"/>
      <c r="M438" s="166"/>
      <c r="N438" s="166"/>
      <c r="O438" s="166"/>
      <c r="P438" s="155"/>
      <c r="Q438" s="166"/>
      <c r="R438" s="166"/>
      <c r="S438" s="166"/>
      <c r="T438" s="166"/>
      <c r="U438" s="166"/>
      <c r="V438" s="166"/>
      <c r="W438" s="166"/>
      <c r="X438" s="166"/>
      <c r="Y438" s="166"/>
      <c r="Z438" s="154">
        <f t="shared" si="37"/>
        <v>16.692299999999999</v>
      </c>
      <c r="AA438" s="159" t="s">
        <v>267</v>
      </c>
      <c r="AB438" s="367">
        <v>450</v>
      </c>
      <c r="AC438" s="365">
        <v>36</v>
      </c>
      <c r="AD438" s="162">
        <v>16.919999999999998</v>
      </c>
      <c r="AE438" s="122">
        <f t="shared" si="34"/>
        <v>15.5123</v>
      </c>
      <c r="AF438" s="159" t="s">
        <v>266</v>
      </c>
      <c r="AG438" s="367">
        <v>414</v>
      </c>
      <c r="AH438" s="365">
        <v>36</v>
      </c>
      <c r="AI438" s="162">
        <v>15.904799999999998</v>
      </c>
      <c r="AJ438" s="126">
        <f t="shared" si="35"/>
        <v>15.5123</v>
      </c>
      <c r="AK438" s="159" t="s">
        <v>266</v>
      </c>
      <c r="AL438" s="367">
        <v>414</v>
      </c>
      <c r="AM438" s="365">
        <v>36</v>
      </c>
      <c r="AN438" s="162">
        <v>15.904799999999998</v>
      </c>
      <c r="AO438" s="126">
        <f t="shared" si="36"/>
        <v>15.5123</v>
      </c>
      <c r="AP438" s="159" t="s">
        <v>266</v>
      </c>
      <c r="AQ438" s="367">
        <v>414</v>
      </c>
      <c r="AR438" s="365">
        <v>36</v>
      </c>
      <c r="AS438" s="162">
        <v>15.904799999999998</v>
      </c>
    </row>
    <row r="439" spans="11:45" x14ac:dyDescent="0.25">
      <c r="K439" s="125"/>
      <c r="L439" s="166"/>
      <c r="M439" s="166"/>
      <c r="N439" s="166"/>
      <c r="O439" s="166"/>
      <c r="P439" s="155"/>
      <c r="Q439" s="166"/>
      <c r="R439" s="166"/>
      <c r="S439" s="166"/>
      <c r="T439" s="166"/>
      <c r="U439" s="166"/>
      <c r="V439" s="166"/>
      <c r="W439" s="166"/>
      <c r="X439" s="166"/>
      <c r="Y439" s="166"/>
      <c r="Z439" s="154">
        <f t="shared" si="37"/>
        <v>16.919999999999998</v>
      </c>
      <c r="AA439" s="123" t="s">
        <v>169</v>
      </c>
      <c r="AB439" s="368">
        <v>435</v>
      </c>
      <c r="AC439" s="365">
        <v>30</v>
      </c>
      <c r="AD439" s="127">
        <v>17.728750000000002</v>
      </c>
      <c r="AE439" s="122">
        <f t="shared" si="34"/>
        <v>15.904799999999998</v>
      </c>
      <c r="AF439" s="167" t="s">
        <v>299</v>
      </c>
      <c r="AG439" s="365">
        <v>329</v>
      </c>
      <c r="AH439" s="365">
        <v>42</v>
      </c>
      <c r="AI439" s="127">
        <v>15.995150000000001</v>
      </c>
      <c r="AJ439" s="126">
        <f t="shared" si="35"/>
        <v>15.904799999999998</v>
      </c>
      <c r="AK439" s="60" t="s">
        <v>299</v>
      </c>
      <c r="AL439" s="367">
        <v>329</v>
      </c>
      <c r="AM439" s="365">
        <v>42</v>
      </c>
      <c r="AN439" s="162">
        <v>15.995150000000001</v>
      </c>
      <c r="AO439" s="126">
        <f t="shared" si="36"/>
        <v>15.904799999999998</v>
      </c>
      <c r="AP439" s="60" t="s">
        <v>299</v>
      </c>
      <c r="AQ439" s="367">
        <v>329</v>
      </c>
      <c r="AR439" s="365">
        <v>42</v>
      </c>
      <c r="AS439" s="162">
        <v>15.995150000000001</v>
      </c>
    </row>
    <row r="440" spans="11:45" x14ac:dyDescent="0.25">
      <c r="K440" s="125"/>
      <c r="L440" s="166"/>
      <c r="M440" s="166"/>
      <c r="N440" s="166"/>
      <c r="O440" s="166"/>
      <c r="P440" s="155"/>
      <c r="Q440" s="166"/>
      <c r="R440" s="166"/>
      <c r="S440" s="166"/>
      <c r="T440" s="166"/>
      <c r="U440" s="166"/>
      <c r="V440" s="166"/>
      <c r="W440" s="166"/>
      <c r="X440" s="166"/>
      <c r="Y440" s="166"/>
      <c r="Z440" s="154">
        <f t="shared" si="37"/>
        <v>17.728750000000002</v>
      </c>
      <c r="AA440" s="59" t="s">
        <v>196</v>
      </c>
      <c r="AB440" s="367">
        <v>506</v>
      </c>
      <c r="AC440" s="365">
        <v>30</v>
      </c>
      <c r="AD440" s="127">
        <v>17.766000000000002</v>
      </c>
      <c r="AE440" s="122">
        <f t="shared" si="34"/>
        <v>15.995150000000001</v>
      </c>
      <c r="AF440" s="59" t="s">
        <v>235</v>
      </c>
      <c r="AG440" s="367">
        <v>380</v>
      </c>
      <c r="AH440" s="365">
        <v>30</v>
      </c>
      <c r="AI440" s="127">
        <v>16.176000000000002</v>
      </c>
      <c r="AJ440" s="126">
        <f t="shared" si="35"/>
        <v>15.995150000000001</v>
      </c>
      <c r="AK440" s="59" t="s">
        <v>235</v>
      </c>
      <c r="AL440" s="367">
        <v>380</v>
      </c>
      <c r="AM440" s="365">
        <v>30</v>
      </c>
      <c r="AN440" s="127">
        <v>16.176000000000002</v>
      </c>
      <c r="AO440" s="126">
        <f t="shared" si="36"/>
        <v>15.995150000000001</v>
      </c>
      <c r="AP440" s="59" t="s">
        <v>235</v>
      </c>
      <c r="AQ440" s="367">
        <v>380</v>
      </c>
      <c r="AR440" s="365">
        <v>30</v>
      </c>
      <c r="AS440" s="127">
        <v>16.176000000000002</v>
      </c>
    </row>
    <row r="441" spans="11:45" x14ac:dyDescent="0.25">
      <c r="K441" s="161"/>
      <c r="L441" s="166"/>
      <c r="M441" s="166"/>
      <c r="N441" s="166"/>
      <c r="O441" s="166"/>
      <c r="P441" s="155"/>
      <c r="Q441" s="166"/>
      <c r="R441" s="166"/>
      <c r="S441" s="166"/>
      <c r="T441" s="166"/>
      <c r="U441" s="166"/>
      <c r="V441" s="166"/>
      <c r="W441" s="166"/>
      <c r="X441" s="166"/>
      <c r="Y441" s="166"/>
      <c r="Z441" s="154">
        <f t="shared" si="37"/>
        <v>17.766000000000002</v>
      </c>
      <c r="AA441" s="59" t="s">
        <v>236</v>
      </c>
      <c r="AB441" s="367">
        <v>419</v>
      </c>
      <c r="AC441" s="365">
        <v>30</v>
      </c>
      <c r="AD441" s="127">
        <v>17.861000000000001</v>
      </c>
      <c r="AE441" s="122">
        <f t="shared" si="34"/>
        <v>16.176000000000002</v>
      </c>
      <c r="AF441" s="59" t="s">
        <v>195</v>
      </c>
      <c r="AG441" s="367">
        <v>459</v>
      </c>
      <c r="AH441" s="365">
        <v>30</v>
      </c>
      <c r="AI441" s="127">
        <v>16.253999999999998</v>
      </c>
      <c r="AJ441" s="126">
        <f t="shared" si="35"/>
        <v>16.176000000000002</v>
      </c>
      <c r="AK441" s="59" t="s">
        <v>195</v>
      </c>
      <c r="AL441" s="367">
        <v>459</v>
      </c>
      <c r="AM441" s="365">
        <v>30</v>
      </c>
      <c r="AN441" s="127">
        <v>16.253999999999998</v>
      </c>
      <c r="AO441" s="126">
        <f t="shared" si="36"/>
        <v>16.176000000000002</v>
      </c>
      <c r="AP441" s="59" t="s">
        <v>195</v>
      </c>
      <c r="AQ441" s="367">
        <v>459</v>
      </c>
      <c r="AR441" s="365">
        <v>30</v>
      </c>
      <c r="AS441" s="127">
        <v>16.253999999999998</v>
      </c>
    </row>
    <row r="442" spans="11:45" x14ac:dyDescent="0.25">
      <c r="K442" s="125"/>
      <c r="L442" s="166"/>
      <c r="M442" s="166"/>
      <c r="N442" s="166"/>
      <c r="O442" s="166"/>
      <c r="P442" s="155"/>
      <c r="Q442" s="166"/>
      <c r="R442" s="166"/>
      <c r="S442" s="166"/>
      <c r="T442" s="166"/>
      <c r="U442" s="166"/>
      <c r="V442" s="166"/>
      <c r="W442" s="166"/>
      <c r="X442" s="166"/>
      <c r="Y442" s="166"/>
      <c r="Z442" s="154">
        <f t="shared" si="37"/>
        <v>17.861000000000001</v>
      </c>
      <c r="AA442" s="159" t="s">
        <v>268</v>
      </c>
      <c r="AB442" s="367">
        <v>491</v>
      </c>
      <c r="AC442" s="365">
        <v>36</v>
      </c>
      <c r="AD442" s="162">
        <v>18.265499999999999</v>
      </c>
      <c r="AE442" s="122">
        <f t="shared" si="34"/>
        <v>16.253999999999998</v>
      </c>
      <c r="AF442" s="167" t="s">
        <v>300</v>
      </c>
      <c r="AG442" s="365">
        <v>355</v>
      </c>
      <c r="AH442" s="365">
        <v>42</v>
      </c>
      <c r="AI442" s="127">
        <v>16.561350000000001</v>
      </c>
      <c r="AJ442" s="126">
        <f t="shared" si="35"/>
        <v>16.253999999999998</v>
      </c>
      <c r="AK442" s="159" t="s">
        <v>300</v>
      </c>
      <c r="AL442" s="367">
        <v>355</v>
      </c>
      <c r="AM442" s="365">
        <v>42</v>
      </c>
      <c r="AN442" s="162">
        <v>16.561350000000001</v>
      </c>
      <c r="AO442" s="126">
        <f t="shared" si="36"/>
        <v>16.253999999999998</v>
      </c>
      <c r="AP442" s="159" t="s">
        <v>300</v>
      </c>
      <c r="AQ442" s="367">
        <v>355</v>
      </c>
      <c r="AR442" s="365">
        <v>42</v>
      </c>
      <c r="AS442" s="162">
        <v>16.561350000000001</v>
      </c>
    </row>
    <row r="443" spans="11:45" x14ac:dyDescent="0.25">
      <c r="K443" s="125"/>
      <c r="L443" s="166"/>
      <c r="M443" s="166"/>
      <c r="N443" s="166"/>
      <c r="O443" s="166"/>
      <c r="P443" s="155"/>
      <c r="Q443" s="166"/>
      <c r="R443" s="166"/>
      <c r="S443" s="166"/>
      <c r="T443" s="166"/>
      <c r="U443" s="166"/>
      <c r="V443" s="166"/>
      <c r="W443" s="166"/>
      <c r="X443" s="166"/>
      <c r="Y443" s="166"/>
      <c r="Z443" s="154">
        <f t="shared" si="37"/>
        <v>18.265499999999999</v>
      </c>
      <c r="AA443" s="123" t="s">
        <v>170</v>
      </c>
      <c r="AB443" s="368">
        <v>483</v>
      </c>
      <c r="AC443" s="365">
        <v>30</v>
      </c>
      <c r="AD443" s="127">
        <v>19.36525</v>
      </c>
      <c r="AE443" s="122">
        <f t="shared" si="34"/>
        <v>16.561350000000001</v>
      </c>
      <c r="AF443" s="123" t="s">
        <v>168</v>
      </c>
      <c r="AG443" s="368">
        <v>393</v>
      </c>
      <c r="AH443" s="365">
        <v>30</v>
      </c>
      <c r="AI443" s="127">
        <v>16.692299999999999</v>
      </c>
      <c r="AJ443" s="126">
        <f t="shared" si="35"/>
        <v>16.561350000000001</v>
      </c>
      <c r="AK443" s="123" t="s">
        <v>168</v>
      </c>
      <c r="AL443" s="368">
        <v>393</v>
      </c>
      <c r="AM443" s="365">
        <v>30</v>
      </c>
      <c r="AN443" s="127">
        <v>16.692299999999999</v>
      </c>
      <c r="AO443" s="126">
        <f t="shared" si="36"/>
        <v>16.561350000000001</v>
      </c>
      <c r="AP443" s="123" t="s">
        <v>168</v>
      </c>
      <c r="AQ443" s="368">
        <v>393</v>
      </c>
      <c r="AR443" s="365">
        <v>30</v>
      </c>
      <c r="AS443" s="127">
        <v>16.692299999999999</v>
      </c>
    </row>
    <row r="444" spans="11:45" x14ac:dyDescent="0.25">
      <c r="K444" s="161"/>
      <c r="L444" s="166"/>
      <c r="M444" s="166"/>
      <c r="N444" s="166"/>
      <c r="O444" s="166"/>
      <c r="P444" s="155"/>
      <c r="Q444" s="166"/>
      <c r="R444" s="166"/>
      <c r="S444" s="166"/>
      <c r="T444" s="166"/>
      <c r="U444" s="166"/>
      <c r="V444" s="166"/>
      <c r="W444" s="166"/>
      <c r="X444" s="166"/>
      <c r="Y444" s="166"/>
      <c r="Z444" s="154">
        <f t="shared" si="37"/>
        <v>19.36525</v>
      </c>
      <c r="AA444" s="59" t="s">
        <v>197</v>
      </c>
      <c r="AB444" s="367">
        <v>559</v>
      </c>
      <c r="AC444" s="365">
        <v>30</v>
      </c>
      <c r="AD444" s="127">
        <v>19.403999999999996</v>
      </c>
      <c r="AE444" s="122">
        <f t="shared" si="34"/>
        <v>16.692299999999999</v>
      </c>
      <c r="AF444" s="167" t="s">
        <v>284</v>
      </c>
      <c r="AG444" s="365">
        <v>455</v>
      </c>
      <c r="AH444" s="365">
        <v>42</v>
      </c>
      <c r="AI444" s="127">
        <v>16.783799999999999</v>
      </c>
      <c r="AJ444" s="126">
        <f t="shared" si="35"/>
        <v>16.692299999999999</v>
      </c>
      <c r="AK444" s="159" t="s">
        <v>284</v>
      </c>
      <c r="AL444" s="367">
        <v>455</v>
      </c>
      <c r="AM444" s="365">
        <v>42</v>
      </c>
      <c r="AN444" s="162">
        <v>16.783799999999999</v>
      </c>
      <c r="AO444" s="126">
        <f t="shared" si="36"/>
        <v>16.692299999999999</v>
      </c>
      <c r="AP444" s="159" t="s">
        <v>284</v>
      </c>
      <c r="AQ444" s="367">
        <v>455</v>
      </c>
      <c r="AR444" s="365">
        <v>42</v>
      </c>
      <c r="AS444" s="162">
        <v>16.783799999999999</v>
      </c>
    </row>
    <row r="445" spans="11:45" x14ac:dyDescent="0.25">
      <c r="K445" s="125"/>
      <c r="L445" s="166"/>
      <c r="M445" s="166"/>
      <c r="N445" s="166"/>
      <c r="O445" s="166"/>
      <c r="P445" s="155"/>
      <c r="Q445" s="166"/>
      <c r="R445" s="166"/>
      <c r="S445" s="166"/>
      <c r="T445" s="166"/>
      <c r="U445" s="166"/>
      <c r="V445" s="166"/>
      <c r="W445" s="166"/>
      <c r="X445" s="166"/>
      <c r="Y445" s="166"/>
      <c r="Z445" s="154">
        <f t="shared" si="37"/>
        <v>19.403999999999996</v>
      </c>
      <c r="AA445" s="59" t="s">
        <v>237</v>
      </c>
      <c r="AB445" s="367">
        <v>466</v>
      </c>
      <c r="AC445" s="365">
        <v>36</v>
      </c>
      <c r="AD445" s="127">
        <v>19.534399999999998</v>
      </c>
      <c r="AE445" s="122">
        <f t="shared" si="34"/>
        <v>16.783799999999999</v>
      </c>
      <c r="AF445" s="159" t="s">
        <v>267</v>
      </c>
      <c r="AG445" s="367">
        <v>450</v>
      </c>
      <c r="AH445" s="365">
        <v>36</v>
      </c>
      <c r="AI445" s="162">
        <v>16.919999999999998</v>
      </c>
      <c r="AJ445" s="126">
        <f t="shared" si="35"/>
        <v>16.783799999999999</v>
      </c>
      <c r="AK445" s="159" t="s">
        <v>267</v>
      </c>
      <c r="AL445" s="367">
        <v>450</v>
      </c>
      <c r="AM445" s="365">
        <v>36</v>
      </c>
      <c r="AN445" s="162">
        <v>16.919999999999998</v>
      </c>
      <c r="AO445" s="126">
        <f t="shared" si="36"/>
        <v>16.783799999999999</v>
      </c>
      <c r="AP445" s="159" t="s">
        <v>267</v>
      </c>
      <c r="AQ445" s="367">
        <v>450</v>
      </c>
      <c r="AR445" s="365">
        <v>36</v>
      </c>
      <c r="AS445" s="162">
        <v>16.919999999999998</v>
      </c>
    </row>
    <row r="446" spans="11:45" x14ac:dyDescent="0.25">
      <c r="K446" s="125"/>
      <c r="L446" s="166"/>
      <c r="M446" s="166"/>
      <c r="N446" s="166"/>
      <c r="O446" s="166"/>
      <c r="P446" s="155"/>
      <c r="Q446" s="166"/>
      <c r="R446" s="166"/>
      <c r="S446" s="166"/>
      <c r="T446" s="166"/>
      <c r="U446" s="166"/>
      <c r="V446" s="166"/>
      <c r="W446" s="166"/>
      <c r="X446" s="166"/>
      <c r="Y446" s="166"/>
      <c r="Z446" s="154">
        <f t="shared" si="37"/>
        <v>19.534399999999998</v>
      </c>
      <c r="AA446" s="159" t="s">
        <v>269</v>
      </c>
      <c r="AB446" s="367">
        <v>531</v>
      </c>
      <c r="AC446" s="365">
        <v>36</v>
      </c>
      <c r="AD446" s="162">
        <v>19.635899999999999</v>
      </c>
      <c r="AE446" s="122">
        <f t="shared" si="34"/>
        <v>16.919999999999998</v>
      </c>
      <c r="AF446" s="167" t="s">
        <v>312</v>
      </c>
      <c r="AG446" s="365">
        <v>359</v>
      </c>
      <c r="AH446" s="365">
        <v>42</v>
      </c>
      <c r="AI446" s="127">
        <v>17.259</v>
      </c>
      <c r="AJ446" s="126">
        <f t="shared" si="35"/>
        <v>16.919999999999998</v>
      </c>
      <c r="AK446" s="159" t="s">
        <v>312</v>
      </c>
      <c r="AL446" s="367">
        <v>359</v>
      </c>
      <c r="AM446" s="365">
        <v>42</v>
      </c>
      <c r="AN446" s="162">
        <v>17.259</v>
      </c>
      <c r="AO446" s="126">
        <f t="shared" si="36"/>
        <v>16.919999999999998</v>
      </c>
      <c r="AP446" s="159" t="s">
        <v>312</v>
      </c>
      <c r="AQ446" s="367">
        <v>359</v>
      </c>
      <c r="AR446" s="365">
        <v>42</v>
      </c>
      <c r="AS446" s="162">
        <v>17.259</v>
      </c>
    </row>
    <row r="447" spans="11:45" x14ac:dyDescent="0.25">
      <c r="K447" s="125"/>
      <c r="L447" s="166"/>
      <c r="M447" s="166"/>
      <c r="N447" s="166"/>
      <c r="O447" s="166"/>
      <c r="P447" s="155"/>
      <c r="Q447" s="166"/>
      <c r="R447" s="166"/>
      <c r="S447" s="166"/>
      <c r="T447" s="166"/>
      <c r="U447" s="166"/>
      <c r="V447" s="166"/>
      <c r="W447" s="166"/>
      <c r="X447" s="166"/>
      <c r="Y447" s="166"/>
      <c r="Z447" s="154">
        <f t="shared" si="37"/>
        <v>19.635899999999999</v>
      </c>
      <c r="AA447" s="59" t="s">
        <v>198</v>
      </c>
      <c r="AB447" s="367">
        <v>607</v>
      </c>
      <c r="AC447" s="365">
        <v>36</v>
      </c>
      <c r="AD447" s="127">
        <v>20.853000000000002</v>
      </c>
      <c r="AE447" s="122">
        <f t="shared" si="34"/>
        <v>17.259</v>
      </c>
      <c r="AF447" s="167" t="s">
        <v>301</v>
      </c>
      <c r="AG447" s="365">
        <v>380</v>
      </c>
      <c r="AH447" s="365">
        <v>42</v>
      </c>
      <c r="AI447" s="127">
        <v>17.41065</v>
      </c>
      <c r="AJ447" s="126">
        <f t="shared" si="35"/>
        <v>17.259</v>
      </c>
      <c r="AK447" s="159" t="s">
        <v>301</v>
      </c>
      <c r="AL447" s="367">
        <v>380</v>
      </c>
      <c r="AM447" s="365">
        <v>42</v>
      </c>
      <c r="AN447" s="162">
        <v>17.41065</v>
      </c>
      <c r="AO447" s="126">
        <f t="shared" si="36"/>
        <v>17.259</v>
      </c>
      <c r="AP447" s="159" t="s">
        <v>301</v>
      </c>
      <c r="AQ447" s="367">
        <v>380</v>
      </c>
      <c r="AR447" s="365">
        <v>42</v>
      </c>
      <c r="AS447" s="162">
        <v>17.41065</v>
      </c>
    </row>
    <row r="448" spans="11:45" x14ac:dyDescent="0.25">
      <c r="K448" s="125"/>
      <c r="L448" s="166"/>
      <c r="M448" s="166"/>
      <c r="N448" s="166"/>
      <c r="O448" s="166"/>
      <c r="P448" s="155"/>
      <c r="Q448" s="166"/>
      <c r="R448" s="166"/>
      <c r="S448" s="166"/>
      <c r="T448" s="166"/>
      <c r="U448" s="166"/>
      <c r="V448" s="166"/>
      <c r="W448" s="166"/>
      <c r="X448" s="166"/>
      <c r="Y448" s="166"/>
      <c r="Z448" s="154">
        <f t="shared" si="37"/>
        <v>20.853000000000002</v>
      </c>
      <c r="AA448" s="59" t="s">
        <v>238</v>
      </c>
      <c r="AB448" s="367">
        <v>514</v>
      </c>
      <c r="AC448" s="365">
        <v>36</v>
      </c>
      <c r="AD448" s="127">
        <v>21.5808</v>
      </c>
      <c r="AE448" s="122">
        <f t="shared" si="34"/>
        <v>17.41065</v>
      </c>
      <c r="AF448" s="123" t="s">
        <v>169</v>
      </c>
      <c r="AG448" s="368">
        <v>435</v>
      </c>
      <c r="AH448" s="365">
        <v>30</v>
      </c>
      <c r="AI448" s="127">
        <v>17.728750000000002</v>
      </c>
      <c r="AJ448" s="126">
        <f t="shared" si="35"/>
        <v>17.41065</v>
      </c>
      <c r="AK448" s="123" t="s">
        <v>169</v>
      </c>
      <c r="AL448" s="368">
        <v>435</v>
      </c>
      <c r="AM448" s="365">
        <v>30</v>
      </c>
      <c r="AN448" s="127">
        <v>17.728750000000002</v>
      </c>
      <c r="AO448" s="126">
        <f t="shared" si="36"/>
        <v>17.41065</v>
      </c>
      <c r="AP448" s="123" t="s">
        <v>169</v>
      </c>
      <c r="AQ448" s="368">
        <v>435</v>
      </c>
      <c r="AR448" s="365">
        <v>30</v>
      </c>
      <c r="AS448" s="127">
        <v>17.728750000000002</v>
      </c>
    </row>
    <row r="449" spans="11:45" x14ac:dyDescent="0.25">
      <c r="K449" s="125"/>
      <c r="L449" s="166"/>
      <c r="M449" s="166"/>
      <c r="N449" s="166"/>
      <c r="O449" s="166"/>
      <c r="P449" s="155"/>
      <c r="Q449" s="166"/>
      <c r="R449" s="166"/>
      <c r="S449" s="166"/>
      <c r="T449" s="166"/>
      <c r="U449" s="166"/>
      <c r="V449" s="166"/>
      <c r="W449" s="166"/>
      <c r="X449" s="166"/>
      <c r="Y449" s="166"/>
      <c r="Z449" s="154">
        <f t="shared" si="37"/>
        <v>21.5808</v>
      </c>
      <c r="AA449" s="159" t="s">
        <v>270</v>
      </c>
      <c r="AB449" s="367">
        <v>588</v>
      </c>
      <c r="AC449" s="365">
        <v>36</v>
      </c>
      <c r="AD449" s="162">
        <v>21.657599999999999</v>
      </c>
      <c r="AE449" s="122">
        <f t="shared" si="34"/>
        <v>17.728750000000002</v>
      </c>
      <c r="AF449" s="59" t="s">
        <v>196</v>
      </c>
      <c r="AG449" s="367">
        <v>506</v>
      </c>
      <c r="AH449" s="365">
        <v>30</v>
      </c>
      <c r="AI449" s="127">
        <v>17.766000000000002</v>
      </c>
      <c r="AJ449" s="126">
        <f t="shared" si="35"/>
        <v>17.728750000000002</v>
      </c>
      <c r="AK449" s="59" t="s">
        <v>196</v>
      </c>
      <c r="AL449" s="367">
        <v>506</v>
      </c>
      <c r="AM449" s="365">
        <v>30</v>
      </c>
      <c r="AN449" s="127">
        <v>17.766000000000002</v>
      </c>
      <c r="AO449" s="126">
        <f t="shared" si="36"/>
        <v>17.728750000000002</v>
      </c>
      <c r="AP449" s="59" t="s">
        <v>196</v>
      </c>
      <c r="AQ449" s="367">
        <v>506</v>
      </c>
      <c r="AR449" s="365">
        <v>30</v>
      </c>
      <c r="AS449" s="127">
        <v>17.766000000000002</v>
      </c>
    </row>
    <row r="450" spans="11:45" x14ac:dyDescent="0.25">
      <c r="K450" s="125"/>
      <c r="L450" s="166"/>
      <c r="M450" s="166"/>
      <c r="N450" s="166"/>
      <c r="O450" s="166"/>
      <c r="P450" s="155"/>
      <c r="Q450" s="166"/>
      <c r="R450" s="166"/>
      <c r="S450" s="166"/>
      <c r="T450" s="166"/>
      <c r="U450" s="166"/>
      <c r="V450" s="166"/>
      <c r="W450" s="166"/>
      <c r="X450" s="166"/>
      <c r="Y450" s="166"/>
      <c r="Z450" s="154">
        <f t="shared" si="37"/>
        <v>21.657599999999999</v>
      </c>
      <c r="AA450" s="59" t="s">
        <v>199</v>
      </c>
      <c r="AB450" s="367">
        <v>656</v>
      </c>
      <c r="AC450" s="365">
        <v>36</v>
      </c>
      <c r="AD450" s="127">
        <v>22.301999999999996</v>
      </c>
      <c r="AE450" s="122">
        <f t="shared" si="34"/>
        <v>17.766000000000002</v>
      </c>
      <c r="AF450" s="59" t="s">
        <v>236</v>
      </c>
      <c r="AG450" s="367">
        <v>419</v>
      </c>
      <c r="AH450" s="365">
        <v>30</v>
      </c>
      <c r="AI450" s="127">
        <v>17.861000000000001</v>
      </c>
      <c r="AJ450" s="126">
        <f t="shared" si="35"/>
        <v>17.766000000000002</v>
      </c>
      <c r="AK450" s="59" t="s">
        <v>236</v>
      </c>
      <c r="AL450" s="367">
        <v>419</v>
      </c>
      <c r="AM450" s="365">
        <v>30</v>
      </c>
      <c r="AN450" s="127">
        <v>17.861000000000001</v>
      </c>
      <c r="AO450" s="126">
        <f t="shared" si="36"/>
        <v>17.766000000000002</v>
      </c>
      <c r="AP450" s="59" t="s">
        <v>236</v>
      </c>
      <c r="AQ450" s="367">
        <v>419</v>
      </c>
      <c r="AR450" s="365">
        <v>30</v>
      </c>
      <c r="AS450" s="127">
        <v>17.861000000000001</v>
      </c>
    </row>
    <row r="451" spans="11:45" x14ac:dyDescent="0.25">
      <c r="K451" s="161"/>
      <c r="L451" s="166"/>
      <c r="M451" s="166"/>
      <c r="N451" s="166"/>
      <c r="O451" s="166"/>
      <c r="P451" s="155"/>
      <c r="Q451" s="166"/>
      <c r="R451" s="166"/>
      <c r="S451" s="166"/>
      <c r="T451" s="166"/>
      <c r="U451" s="166"/>
      <c r="V451" s="166"/>
      <c r="W451" s="166"/>
      <c r="X451" s="166"/>
      <c r="Y451" s="166"/>
      <c r="Z451" s="154">
        <f t="shared" si="37"/>
        <v>22.301999999999996</v>
      </c>
      <c r="AA451" s="159" t="s">
        <v>38</v>
      </c>
      <c r="AB451" s="367">
        <v>644</v>
      </c>
      <c r="AC451" s="365">
        <v>36</v>
      </c>
      <c r="AD451" s="162">
        <v>23.462399999999999</v>
      </c>
      <c r="AE451" s="122">
        <f t="shared" si="34"/>
        <v>17.861000000000001</v>
      </c>
      <c r="AF451" s="167" t="s">
        <v>313</v>
      </c>
      <c r="AG451" s="365">
        <v>406</v>
      </c>
      <c r="AH451" s="365">
        <v>42</v>
      </c>
      <c r="AI451" s="127">
        <v>18.200400000000002</v>
      </c>
      <c r="AJ451" s="126">
        <f t="shared" si="35"/>
        <v>17.861000000000001</v>
      </c>
      <c r="AK451" s="60" t="s">
        <v>313</v>
      </c>
      <c r="AL451" s="367">
        <v>406</v>
      </c>
      <c r="AM451" s="365">
        <v>42</v>
      </c>
      <c r="AN451" s="162">
        <v>18.200400000000002</v>
      </c>
      <c r="AO451" s="126">
        <f t="shared" si="36"/>
        <v>17.861000000000001</v>
      </c>
      <c r="AP451" s="60" t="s">
        <v>313</v>
      </c>
      <c r="AQ451" s="367">
        <v>406</v>
      </c>
      <c r="AR451" s="365">
        <v>42</v>
      </c>
      <c r="AS451" s="162">
        <v>18.200400000000002</v>
      </c>
    </row>
    <row r="452" spans="11:45" x14ac:dyDescent="0.25">
      <c r="K452" s="161"/>
      <c r="L452" s="166"/>
      <c r="M452" s="166"/>
      <c r="N452" s="166"/>
      <c r="O452" s="166"/>
      <c r="P452" s="155"/>
      <c r="Q452" s="166"/>
      <c r="R452" s="166"/>
      <c r="S452" s="166"/>
      <c r="T452" s="166"/>
      <c r="U452" s="166"/>
      <c r="V452" s="166"/>
      <c r="W452" s="166"/>
      <c r="X452" s="166"/>
      <c r="Y452" s="166"/>
      <c r="Z452" s="154">
        <f t="shared" si="37"/>
        <v>23.462399999999999</v>
      </c>
      <c r="AA452" s="59" t="s">
        <v>239</v>
      </c>
      <c r="AB452" s="367">
        <v>564</v>
      </c>
      <c r="AC452" s="365">
        <v>36</v>
      </c>
      <c r="AD452" s="127">
        <v>23.59</v>
      </c>
      <c r="AE452" s="122">
        <f t="shared" si="34"/>
        <v>18.200400000000002</v>
      </c>
      <c r="AF452" s="159" t="s">
        <v>268</v>
      </c>
      <c r="AG452" s="367">
        <v>491</v>
      </c>
      <c r="AH452" s="365">
        <v>36</v>
      </c>
      <c r="AI452" s="162">
        <v>18.265499999999999</v>
      </c>
      <c r="AJ452" s="126">
        <f t="shared" si="35"/>
        <v>18.200400000000002</v>
      </c>
      <c r="AK452" s="159" t="s">
        <v>268</v>
      </c>
      <c r="AL452" s="367">
        <v>491</v>
      </c>
      <c r="AM452" s="365">
        <v>36</v>
      </c>
      <c r="AN452" s="162">
        <v>18.265499999999999</v>
      </c>
      <c r="AO452" s="126">
        <f t="shared" si="36"/>
        <v>18.200400000000002</v>
      </c>
      <c r="AP452" s="159" t="s">
        <v>268</v>
      </c>
      <c r="AQ452" s="367">
        <v>491</v>
      </c>
      <c r="AR452" s="365">
        <v>36</v>
      </c>
      <c r="AS452" s="162">
        <v>18.265499999999999</v>
      </c>
    </row>
    <row r="453" spans="11:45" x14ac:dyDescent="0.25">
      <c r="K453" s="161"/>
      <c r="L453" s="166"/>
      <c r="M453" s="166"/>
      <c r="N453" s="166"/>
      <c r="O453" s="166"/>
      <c r="P453" s="155"/>
      <c r="Q453" s="166"/>
      <c r="R453" s="166"/>
      <c r="S453" s="166"/>
      <c r="T453" s="166"/>
      <c r="U453" s="166"/>
      <c r="V453" s="166"/>
      <c r="W453" s="166"/>
      <c r="X453" s="166"/>
      <c r="Y453" s="166"/>
      <c r="Z453" s="154">
        <f t="shared" si="37"/>
        <v>23.59</v>
      </c>
      <c r="AA453" s="59" t="s">
        <v>200</v>
      </c>
      <c r="AB453" s="367">
        <v>707</v>
      </c>
      <c r="AC453" s="365">
        <v>36</v>
      </c>
      <c r="AD453" s="127">
        <v>23.625000000000004</v>
      </c>
      <c r="AE453" s="122">
        <f t="shared" si="34"/>
        <v>18.265499999999999</v>
      </c>
      <c r="AF453" s="167" t="s">
        <v>302</v>
      </c>
      <c r="AG453" s="365">
        <v>436</v>
      </c>
      <c r="AH453" s="365">
        <v>42</v>
      </c>
      <c r="AI453" s="127">
        <v>18.401500000000002</v>
      </c>
      <c r="AJ453" s="126">
        <f t="shared" si="35"/>
        <v>18.265499999999999</v>
      </c>
      <c r="AK453" s="159" t="s">
        <v>302</v>
      </c>
      <c r="AL453" s="367">
        <v>436</v>
      </c>
      <c r="AM453" s="365">
        <v>42</v>
      </c>
      <c r="AN453" s="162">
        <v>18.401500000000002</v>
      </c>
      <c r="AO453" s="126">
        <f t="shared" si="36"/>
        <v>18.265499999999999</v>
      </c>
      <c r="AP453" s="159" t="s">
        <v>302</v>
      </c>
      <c r="AQ453" s="367">
        <v>436</v>
      </c>
      <c r="AR453" s="365">
        <v>42</v>
      </c>
      <c r="AS453" s="162">
        <v>18.401500000000002</v>
      </c>
    </row>
    <row r="454" spans="11:45" x14ac:dyDescent="0.25">
      <c r="K454" s="161"/>
      <c r="L454" s="166"/>
      <c r="M454" s="166"/>
      <c r="N454" s="166"/>
      <c r="O454" s="166"/>
      <c r="P454" s="155"/>
      <c r="Q454" s="166"/>
      <c r="R454" s="166"/>
      <c r="S454" s="166"/>
      <c r="T454" s="166"/>
      <c r="U454" s="166"/>
      <c r="V454" s="166"/>
      <c r="W454" s="166"/>
      <c r="X454" s="166"/>
      <c r="Y454" s="166"/>
      <c r="Z454" s="154">
        <f t="shared" si="37"/>
        <v>23.625000000000004</v>
      </c>
      <c r="AA454" s="59" t="s">
        <v>201</v>
      </c>
      <c r="AB454" s="367">
        <v>756</v>
      </c>
      <c r="AC454" s="365">
        <v>36</v>
      </c>
      <c r="AD454" s="127">
        <v>25.388999999999999</v>
      </c>
      <c r="AE454" s="122">
        <f t="shared" si="34"/>
        <v>18.401500000000002</v>
      </c>
      <c r="AF454" s="167" t="s">
        <v>285</v>
      </c>
      <c r="AG454" s="365">
        <v>502</v>
      </c>
      <c r="AH454" s="365">
        <v>42</v>
      </c>
      <c r="AI454" s="127">
        <v>18.43675</v>
      </c>
      <c r="AJ454" s="126">
        <f t="shared" si="35"/>
        <v>18.401500000000002</v>
      </c>
      <c r="AK454" s="159" t="s">
        <v>285</v>
      </c>
      <c r="AL454" s="367">
        <v>502</v>
      </c>
      <c r="AM454" s="365">
        <v>42</v>
      </c>
      <c r="AN454" s="162">
        <v>18.43675</v>
      </c>
      <c r="AO454" s="126">
        <f t="shared" si="36"/>
        <v>18.401500000000002</v>
      </c>
      <c r="AP454" s="159" t="s">
        <v>285</v>
      </c>
      <c r="AQ454" s="367">
        <v>502</v>
      </c>
      <c r="AR454" s="365">
        <v>42</v>
      </c>
      <c r="AS454" s="162">
        <v>18.43675</v>
      </c>
    </row>
    <row r="455" spans="11:45" x14ac:dyDescent="0.25">
      <c r="K455" s="161"/>
      <c r="L455" s="166"/>
      <c r="M455" s="166"/>
      <c r="N455" s="166"/>
      <c r="O455" s="166"/>
      <c r="P455" s="155"/>
      <c r="Q455" s="166"/>
      <c r="R455" s="166"/>
      <c r="S455" s="166"/>
      <c r="T455" s="166"/>
      <c r="U455" s="166"/>
      <c r="V455" s="166"/>
      <c r="W455" s="166"/>
      <c r="X455" s="166"/>
      <c r="Y455" s="166"/>
      <c r="Z455" s="154">
        <f t="shared" si="37"/>
        <v>25.388999999999999</v>
      </c>
      <c r="AA455" s="59" t="s">
        <v>240</v>
      </c>
      <c r="AB455" s="367">
        <v>624</v>
      </c>
      <c r="AC455" s="365">
        <v>36</v>
      </c>
      <c r="AD455" s="127">
        <v>25.596800000000002</v>
      </c>
      <c r="AE455" s="122">
        <f t="shared" si="34"/>
        <v>18.43675</v>
      </c>
      <c r="AF455" s="167" t="s">
        <v>303</v>
      </c>
      <c r="AG455" s="365">
        <v>539</v>
      </c>
      <c r="AH455" s="365">
        <v>42</v>
      </c>
      <c r="AI455" s="127">
        <v>18.543050000000001</v>
      </c>
      <c r="AJ455" s="126">
        <f t="shared" si="35"/>
        <v>18.43675</v>
      </c>
      <c r="AK455" s="159" t="s">
        <v>303</v>
      </c>
      <c r="AL455" s="367">
        <v>539</v>
      </c>
      <c r="AM455" s="365">
        <v>42</v>
      </c>
      <c r="AN455" s="162">
        <v>18.543050000000001</v>
      </c>
      <c r="AO455" s="126">
        <f t="shared" si="36"/>
        <v>18.43675</v>
      </c>
      <c r="AP455" s="159" t="s">
        <v>303</v>
      </c>
      <c r="AQ455" s="367">
        <v>539</v>
      </c>
      <c r="AR455" s="365">
        <v>42</v>
      </c>
      <c r="AS455" s="162">
        <v>18.543050000000001</v>
      </c>
    </row>
    <row r="456" spans="11:45" x14ac:dyDescent="0.25">
      <c r="K456" s="161"/>
      <c r="L456" s="166"/>
      <c r="M456" s="166"/>
      <c r="N456" s="166"/>
      <c r="O456" s="166"/>
      <c r="P456" s="155"/>
      <c r="Q456" s="166"/>
      <c r="R456" s="166"/>
      <c r="S456" s="166"/>
      <c r="T456" s="166"/>
      <c r="U456" s="166"/>
      <c r="V456" s="166"/>
      <c r="W456" s="166"/>
      <c r="X456" s="166"/>
      <c r="Y456" s="166"/>
      <c r="Z456" s="154">
        <f t="shared" si="37"/>
        <v>25.596800000000002</v>
      </c>
      <c r="AA456" s="159" t="s">
        <v>271</v>
      </c>
      <c r="AB456" s="367">
        <v>718</v>
      </c>
      <c r="AC456" s="365">
        <v>36</v>
      </c>
      <c r="AD456" s="162">
        <v>26.157999999999998</v>
      </c>
      <c r="AE456" s="122">
        <f t="shared" si="34"/>
        <v>18.543050000000001</v>
      </c>
      <c r="AF456" s="167" t="s">
        <v>314</v>
      </c>
      <c r="AG456" s="365">
        <v>448</v>
      </c>
      <c r="AH456" s="365">
        <v>42</v>
      </c>
      <c r="AI456" s="127">
        <v>18.984899999999996</v>
      </c>
      <c r="AJ456" s="126">
        <f t="shared" si="35"/>
        <v>18.543050000000001</v>
      </c>
      <c r="AK456" s="159" t="s">
        <v>314</v>
      </c>
      <c r="AL456" s="367">
        <v>448</v>
      </c>
      <c r="AM456" s="365">
        <v>42</v>
      </c>
      <c r="AN456" s="162">
        <v>18.984899999999996</v>
      </c>
      <c r="AO456" s="126">
        <f t="shared" si="36"/>
        <v>18.543050000000001</v>
      </c>
      <c r="AP456" s="159" t="s">
        <v>314</v>
      </c>
      <c r="AQ456" s="367">
        <v>448</v>
      </c>
      <c r="AR456" s="365">
        <v>42</v>
      </c>
      <c r="AS456" s="162">
        <v>18.984899999999996</v>
      </c>
    </row>
    <row r="457" spans="11:45" x14ac:dyDescent="0.25">
      <c r="K457" s="161"/>
      <c r="L457" s="166"/>
      <c r="M457" s="166"/>
      <c r="N457" s="166"/>
      <c r="O457" s="166"/>
      <c r="P457" s="155"/>
      <c r="Q457" s="166"/>
      <c r="R457" s="166"/>
      <c r="S457" s="166"/>
      <c r="T457" s="166"/>
      <c r="U457" s="166"/>
      <c r="V457" s="166"/>
      <c r="W457" s="166"/>
      <c r="X457" s="166"/>
      <c r="Y457" s="166"/>
      <c r="Z457" s="154">
        <f t="shared" si="37"/>
        <v>26.157999999999998</v>
      </c>
      <c r="AA457" s="59" t="s">
        <v>202</v>
      </c>
      <c r="AB457" s="367">
        <v>838</v>
      </c>
      <c r="AC457" s="365">
        <v>36</v>
      </c>
      <c r="AD457" s="127">
        <v>27.594000000000001</v>
      </c>
      <c r="AE457" s="122">
        <f t="shared" si="34"/>
        <v>18.984899999999996</v>
      </c>
      <c r="AF457" s="167" t="s">
        <v>286</v>
      </c>
      <c r="AG457" s="365">
        <v>556</v>
      </c>
      <c r="AH457" s="365">
        <v>42</v>
      </c>
      <c r="AI457" s="127">
        <v>19.072499999999998</v>
      </c>
      <c r="AJ457" s="126">
        <f t="shared" si="35"/>
        <v>18.984899999999996</v>
      </c>
      <c r="AK457" s="159" t="s">
        <v>286</v>
      </c>
      <c r="AL457" s="367">
        <v>556</v>
      </c>
      <c r="AM457" s="365">
        <v>42</v>
      </c>
      <c r="AN457" s="162">
        <v>19.072499999999998</v>
      </c>
      <c r="AO457" s="126">
        <f t="shared" si="36"/>
        <v>18.984899999999996</v>
      </c>
      <c r="AP457" s="159" t="s">
        <v>286</v>
      </c>
      <c r="AQ457" s="367">
        <v>556</v>
      </c>
      <c r="AR457" s="365">
        <v>42</v>
      </c>
      <c r="AS457" s="162">
        <v>19.072499999999998</v>
      </c>
    </row>
    <row r="458" spans="11:45" x14ac:dyDescent="0.25">
      <c r="K458" s="161"/>
      <c r="L458" s="166"/>
      <c r="M458" s="166"/>
      <c r="N458" s="166"/>
      <c r="O458" s="166"/>
      <c r="P458" s="155"/>
      <c r="Q458" s="166"/>
      <c r="R458" s="166"/>
      <c r="S458" s="166"/>
      <c r="T458" s="166"/>
      <c r="U458" s="166"/>
      <c r="V458" s="166"/>
      <c r="W458" s="166"/>
      <c r="X458" s="166"/>
      <c r="Y458" s="166"/>
      <c r="Z458" s="154">
        <f t="shared" si="37"/>
        <v>27.594000000000001</v>
      </c>
      <c r="AA458" s="59" t="s">
        <v>203</v>
      </c>
      <c r="AB458" s="367">
        <v>931</v>
      </c>
      <c r="AC458" s="365">
        <v>36</v>
      </c>
      <c r="AD458" s="127">
        <v>29.987999999999992</v>
      </c>
      <c r="AE458" s="122">
        <f t="shared" si="34"/>
        <v>19.072499999999998</v>
      </c>
      <c r="AF458" s="123" t="s">
        <v>170</v>
      </c>
      <c r="AG458" s="368">
        <v>483</v>
      </c>
      <c r="AH458" s="365">
        <v>30</v>
      </c>
      <c r="AI458" s="127">
        <v>19.36525</v>
      </c>
      <c r="AJ458" s="126">
        <f t="shared" si="35"/>
        <v>19.072499999999998</v>
      </c>
      <c r="AK458" s="123" t="s">
        <v>170</v>
      </c>
      <c r="AL458" s="368">
        <v>483</v>
      </c>
      <c r="AM458" s="365">
        <v>30</v>
      </c>
      <c r="AN458" s="127">
        <v>19.36525</v>
      </c>
      <c r="AO458" s="126">
        <f t="shared" si="36"/>
        <v>19.072499999999998</v>
      </c>
      <c r="AP458" s="123" t="s">
        <v>170</v>
      </c>
      <c r="AQ458" s="368">
        <v>483</v>
      </c>
      <c r="AR458" s="365">
        <v>30</v>
      </c>
      <c r="AS458" s="127">
        <v>19.36525</v>
      </c>
    </row>
    <row r="459" spans="11:45" x14ac:dyDescent="0.25">
      <c r="K459" s="161"/>
      <c r="L459" s="166"/>
      <c r="M459" s="166"/>
      <c r="N459" s="166"/>
      <c r="O459" s="166"/>
      <c r="P459" s="155"/>
      <c r="Q459" s="166"/>
      <c r="R459" s="166"/>
      <c r="S459" s="166"/>
      <c r="T459" s="166"/>
      <c r="U459" s="166"/>
      <c r="V459" s="166"/>
      <c r="W459" s="166"/>
      <c r="X459" s="166"/>
      <c r="Y459" s="166"/>
      <c r="Z459" s="154">
        <f t="shared" si="37"/>
        <v>29.987999999999992</v>
      </c>
      <c r="AA459" s="59" t="s">
        <v>204</v>
      </c>
      <c r="AB459" s="367">
        <v>1040</v>
      </c>
      <c r="AC459" s="365">
        <v>36</v>
      </c>
      <c r="AD459" s="127">
        <v>32.697000000000003</v>
      </c>
      <c r="AE459" s="122">
        <f t="shared" si="34"/>
        <v>19.36525</v>
      </c>
      <c r="AF459" s="59" t="s">
        <v>197</v>
      </c>
      <c r="AG459" s="367">
        <v>559</v>
      </c>
      <c r="AH459" s="365">
        <v>30</v>
      </c>
      <c r="AI459" s="127">
        <v>19.403999999999996</v>
      </c>
      <c r="AJ459" s="126">
        <f t="shared" si="35"/>
        <v>19.36525</v>
      </c>
      <c r="AK459" s="59" t="s">
        <v>197</v>
      </c>
      <c r="AL459" s="367">
        <v>559</v>
      </c>
      <c r="AM459" s="365">
        <v>30</v>
      </c>
      <c r="AN459" s="127">
        <v>19.403999999999996</v>
      </c>
      <c r="AO459" s="126">
        <f t="shared" si="36"/>
        <v>19.36525</v>
      </c>
      <c r="AP459" s="59" t="s">
        <v>197</v>
      </c>
      <c r="AQ459" s="367">
        <v>559</v>
      </c>
      <c r="AR459" s="365">
        <v>30</v>
      </c>
      <c r="AS459" s="127">
        <v>19.403999999999996</v>
      </c>
    </row>
    <row r="460" spans="11:45" x14ac:dyDescent="0.25">
      <c r="K460" s="161"/>
      <c r="L460" s="166"/>
      <c r="M460" s="166"/>
      <c r="N460" s="166"/>
      <c r="O460" s="166"/>
      <c r="P460" s="155"/>
      <c r="Q460" s="166"/>
      <c r="R460" s="166"/>
      <c r="S460" s="166"/>
      <c r="T460" s="166"/>
      <c r="U460" s="166"/>
      <c r="V460" s="166"/>
      <c r="W460" s="166"/>
      <c r="X460" s="166"/>
      <c r="Y460" s="166"/>
      <c r="Z460" s="154">
        <f t="shared" si="37"/>
        <v>32.697000000000003</v>
      </c>
      <c r="AA460" s="59" t="s">
        <v>205</v>
      </c>
      <c r="AB460" s="367">
        <v>1150</v>
      </c>
      <c r="AC460" s="365">
        <v>36</v>
      </c>
      <c r="AD460" s="127">
        <v>35.658000000000008</v>
      </c>
      <c r="AE460" s="122">
        <f t="shared" si="34"/>
        <v>19.403999999999996</v>
      </c>
      <c r="AF460" s="59" t="s">
        <v>237</v>
      </c>
      <c r="AG460" s="367">
        <v>466</v>
      </c>
      <c r="AH460" s="365">
        <v>36</v>
      </c>
      <c r="AI460" s="127">
        <v>19.534399999999998</v>
      </c>
      <c r="AJ460" s="126">
        <f t="shared" si="35"/>
        <v>19.403999999999996</v>
      </c>
      <c r="AK460" s="59" t="s">
        <v>237</v>
      </c>
      <c r="AL460" s="367">
        <v>466</v>
      </c>
      <c r="AM460" s="365">
        <v>36</v>
      </c>
      <c r="AN460" s="127">
        <v>19.534399999999998</v>
      </c>
      <c r="AO460" s="126">
        <f t="shared" si="36"/>
        <v>19.403999999999996</v>
      </c>
      <c r="AP460" s="59" t="s">
        <v>237</v>
      </c>
      <c r="AQ460" s="367">
        <v>466</v>
      </c>
      <c r="AR460" s="365">
        <v>36</v>
      </c>
      <c r="AS460" s="127">
        <v>19.534399999999998</v>
      </c>
    </row>
    <row r="461" spans="11:45" ht="15.75" thickBot="1" x14ac:dyDescent="0.3">
      <c r="K461" s="161"/>
      <c r="L461" s="166"/>
      <c r="M461" s="166"/>
      <c r="N461" s="166"/>
      <c r="O461" s="166"/>
      <c r="P461" s="155"/>
      <c r="Q461" s="166"/>
      <c r="R461" s="166"/>
      <c r="S461" s="166"/>
      <c r="T461" s="166"/>
      <c r="U461" s="166"/>
      <c r="V461" s="166"/>
      <c r="W461" s="166"/>
      <c r="X461" s="166"/>
      <c r="Y461" s="166"/>
      <c r="Z461" s="154">
        <f t="shared" si="37"/>
        <v>35.658000000000008</v>
      </c>
      <c r="AA461" s="72" t="s">
        <v>206</v>
      </c>
      <c r="AB461" s="374">
        <v>1280</v>
      </c>
      <c r="AC461" s="369">
        <v>36</v>
      </c>
      <c r="AD461" s="203">
        <v>38.682000000000002</v>
      </c>
      <c r="AE461" s="122">
        <f t="shared" si="34"/>
        <v>19.534399999999998</v>
      </c>
      <c r="AF461" s="159" t="s">
        <v>269</v>
      </c>
      <c r="AG461" s="367">
        <v>531</v>
      </c>
      <c r="AH461" s="365">
        <v>36</v>
      </c>
      <c r="AI461" s="162">
        <v>19.635899999999999</v>
      </c>
      <c r="AJ461" s="126">
        <f t="shared" si="35"/>
        <v>19.534399999999998</v>
      </c>
      <c r="AK461" s="159" t="s">
        <v>269</v>
      </c>
      <c r="AL461" s="367">
        <v>531</v>
      </c>
      <c r="AM461" s="365">
        <v>36</v>
      </c>
      <c r="AN461" s="162">
        <v>19.635899999999999</v>
      </c>
      <c r="AO461" s="126">
        <f t="shared" si="36"/>
        <v>19.534399999999998</v>
      </c>
      <c r="AP461" s="159" t="s">
        <v>269</v>
      </c>
      <c r="AQ461" s="367">
        <v>531</v>
      </c>
      <c r="AR461" s="365">
        <v>36</v>
      </c>
      <c r="AS461" s="162">
        <v>19.635899999999999</v>
      </c>
    </row>
    <row r="462" spans="11:45" ht="15.75" thickBot="1" x14ac:dyDescent="0.3">
      <c r="K462" s="161"/>
      <c r="L462" s="166"/>
      <c r="M462" s="166"/>
      <c r="N462" s="166"/>
      <c r="O462" s="166"/>
      <c r="P462" s="155"/>
      <c r="Q462" s="166"/>
      <c r="R462" s="166"/>
      <c r="S462" s="166"/>
      <c r="T462" s="166"/>
      <c r="U462" s="166"/>
      <c r="V462" s="166"/>
      <c r="W462" s="166"/>
      <c r="X462" s="166"/>
      <c r="Y462" s="166"/>
      <c r="Z462" s="165">
        <f t="shared" si="37"/>
        <v>38.682000000000002</v>
      </c>
      <c r="AA462" s="80" t="s">
        <v>353</v>
      </c>
      <c r="AB462" s="153"/>
      <c r="AC462" s="153"/>
      <c r="AD462" s="377"/>
      <c r="AE462" s="351">
        <f t="shared" si="34"/>
        <v>19.635899999999999</v>
      </c>
      <c r="AF462" s="167" t="s">
        <v>315</v>
      </c>
      <c r="AG462" s="365">
        <v>487</v>
      </c>
      <c r="AH462" s="365">
        <v>42</v>
      </c>
      <c r="AI462" s="127">
        <v>19.926300000000001</v>
      </c>
      <c r="AJ462" s="126">
        <f t="shared" si="35"/>
        <v>19.635899999999999</v>
      </c>
      <c r="AK462" s="187" t="s">
        <v>315</v>
      </c>
      <c r="AL462" s="367">
        <v>487</v>
      </c>
      <c r="AM462" s="365">
        <v>42</v>
      </c>
      <c r="AN462" s="162">
        <v>19.926300000000001</v>
      </c>
      <c r="AO462" s="126">
        <f t="shared" si="36"/>
        <v>19.635899999999999</v>
      </c>
      <c r="AP462" s="187" t="s">
        <v>315</v>
      </c>
      <c r="AQ462" s="367">
        <v>487</v>
      </c>
      <c r="AR462" s="365">
        <v>42</v>
      </c>
      <c r="AS462" s="162">
        <v>19.926300000000001</v>
      </c>
    </row>
    <row r="463" spans="11:45" x14ac:dyDescent="0.25">
      <c r="K463" s="161"/>
      <c r="L463" s="166"/>
      <c r="M463" s="166"/>
      <c r="N463" s="166"/>
      <c r="O463" s="166"/>
      <c r="P463" s="155"/>
      <c r="Q463" s="166"/>
      <c r="R463" s="166"/>
      <c r="S463" s="166"/>
      <c r="T463" s="166"/>
      <c r="U463" s="166"/>
      <c r="V463" s="166"/>
      <c r="W463" s="166"/>
      <c r="X463" s="166"/>
      <c r="Y463" s="166"/>
      <c r="Z463" s="166"/>
      <c r="AA463" s="166"/>
      <c r="AB463" s="166"/>
      <c r="AC463" s="166"/>
      <c r="AD463" s="166"/>
      <c r="AE463" s="154">
        <f t="shared" si="34"/>
        <v>19.926300000000001</v>
      </c>
      <c r="AF463" s="167" t="s">
        <v>304</v>
      </c>
      <c r="AG463" s="365">
        <v>598</v>
      </c>
      <c r="AH463" s="365">
        <v>42</v>
      </c>
      <c r="AI463" s="127">
        <v>20.100099999999998</v>
      </c>
      <c r="AJ463" s="126">
        <f t="shared" si="35"/>
        <v>19.926300000000001</v>
      </c>
      <c r="AK463" s="159" t="s">
        <v>304</v>
      </c>
      <c r="AL463" s="367">
        <v>598</v>
      </c>
      <c r="AM463" s="365">
        <v>42</v>
      </c>
      <c r="AN463" s="162">
        <v>20.100099999999998</v>
      </c>
      <c r="AO463" s="126">
        <f t="shared" si="36"/>
        <v>19.926300000000001</v>
      </c>
      <c r="AP463" s="159" t="s">
        <v>304</v>
      </c>
      <c r="AQ463" s="367">
        <v>598</v>
      </c>
      <c r="AR463" s="365">
        <v>42</v>
      </c>
      <c r="AS463" s="162">
        <v>20.100099999999998</v>
      </c>
    </row>
    <row r="464" spans="11:45" x14ac:dyDescent="0.25">
      <c r="K464" s="161"/>
      <c r="L464" s="166"/>
      <c r="M464" s="166"/>
      <c r="N464" s="166"/>
      <c r="O464" s="166"/>
      <c r="P464" s="155"/>
      <c r="Q464" s="166"/>
      <c r="R464" s="166"/>
      <c r="S464" s="166"/>
      <c r="T464" s="166"/>
      <c r="U464" s="166"/>
      <c r="V464" s="166"/>
      <c r="W464" s="166"/>
      <c r="X464" s="166"/>
      <c r="Y464" s="166"/>
      <c r="Z464" s="166"/>
      <c r="AA464" s="166"/>
      <c r="AB464" s="166"/>
      <c r="AC464" s="166"/>
      <c r="AD464" s="166"/>
      <c r="AE464" s="154">
        <f t="shared" ref="AE464:AE500" si="38">AI463</f>
        <v>20.100099999999998</v>
      </c>
      <c r="AF464" s="59" t="s">
        <v>198</v>
      </c>
      <c r="AG464" s="367">
        <v>607</v>
      </c>
      <c r="AH464" s="365">
        <v>36</v>
      </c>
      <c r="AI464" s="127">
        <v>20.853000000000002</v>
      </c>
      <c r="AJ464" s="126">
        <f t="shared" ref="AJ464:AJ526" si="39">AN463</f>
        <v>20.100099999999998</v>
      </c>
      <c r="AK464" s="167" t="s">
        <v>324</v>
      </c>
      <c r="AL464" s="367">
        <v>439</v>
      </c>
      <c r="AM464" s="365">
        <v>48</v>
      </c>
      <c r="AN464" s="127">
        <v>20.381999999999998</v>
      </c>
      <c r="AO464" s="126">
        <f t="shared" ref="AO464:AO531" si="40">AS463</f>
        <v>20.100099999999998</v>
      </c>
      <c r="AP464" s="167" t="s">
        <v>324</v>
      </c>
      <c r="AQ464" s="367">
        <v>439</v>
      </c>
      <c r="AR464" s="365">
        <v>48</v>
      </c>
      <c r="AS464" s="127">
        <v>20.381999999999998</v>
      </c>
    </row>
    <row r="465" spans="11:45" x14ac:dyDescent="0.25">
      <c r="K465" s="161"/>
      <c r="L465" s="166"/>
      <c r="M465" s="166"/>
      <c r="N465" s="166"/>
      <c r="O465" s="166"/>
      <c r="P465" s="155"/>
      <c r="Q465" s="166"/>
      <c r="R465" s="166"/>
      <c r="S465" s="166"/>
      <c r="T465" s="166"/>
      <c r="U465" s="166"/>
      <c r="V465" s="166"/>
      <c r="W465" s="166"/>
      <c r="X465" s="166"/>
      <c r="Y465" s="166"/>
      <c r="Z465" s="166"/>
      <c r="AA465" s="166"/>
      <c r="AB465" s="166"/>
      <c r="AC465" s="166"/>
      <c r="AD465" s="166"/>
      <c r="AE465" s="154">
        <f t="shared" si="38"/>
        <v>20.853000000000002</v>
      </c>
      <c r="AF465" s="167" t="s">
        <v>316</v>
      </c>
      <c r="AG465" s="365">
        <v>549</v>
      </c>
      <c r="AH465" s="365">
        <v>42</v>
      </c>
      <c r="AI465" s="127">
        <v>21.0246</v>
      </c>
      <c r="AJ465" s="126">
        <f t="shared" si="39"/>
        <v>20.381999999999998</v>
      </c>
      <c r="AK465" s="59" t="s">
        <v>198</v>
      </c>
      <c r="AL465" s="367">
        <v>607</v>
      </c>
      <c r="AM465" s="365">
        <v>36</v>
      </c>
      <c r="AN465" s="127">
        <v>20.853000000000002</v>
      </c>
      <c r="AO465" s="126">
        <f t="shared" si="40"/>
        <v>20.381999999999998</v>
      </c>
      <c r="AP465" s="59" t="s">
        <v>198</v>
      </c>
      <c r="AQ465" s="367">
        <v>607</v>
      </c>
      <c r="AR465" s="365">
        <v>36</v>
      </c>
      <c r="AS465" s="127">
        <v>20.853000000000002</v>
      </c>
    </row>
    <row r="466" spans="11:45" x14ac:dyDescent="0.25">
      <c r="K466" s="161"/>
      <c r="L466" s="166"/>
      <c r="M466" s="166"/>
      <c r="N466" s="166"/>
      <c r="O466" s="166"/>
      <c r="P466" s="155"/>
      <c r="Q466" s="166"/>
      <c r="R466" s="166"/>
      <c r="S466" s="166"/>
      <c r="T466" s="166"/>
      <c r="U466" s="166"/>
      <c r="V466" s="166"/>
      <c r="W466" s="166"/>
      <c r="X466" s="166"/>
      <c r="Y466" s="166"/>
      <c r="Z466" s="166"/>
      <c r="AA466" s="166"/>
      <c r="AB466" s="166"/>
      <c r="AC466" s="166"/>
      <c r="AD466" s="166"/>
      <c r="AE466" s="154">
        <f t="shared" si="38"/>
        <v>21.0246</v>
      </c>
      <c r="AF466" s="167" t="s">
        <v>287</v>
      </c>
      <c r="AG466" s="365">
        <v>624</v>
      </c>
      <c r="AH466" s="365">
        <v>42</v>
      </c>
      <c r="AI466" s="127">
        <v>21.1069</v>
      </c>
      <c r="AJ466" s="126">
        <f t="shared" si="39"/>
        <v>20.853000000000002</v>
      </c>
      <c r="AK466" s="187" t="s">
        <v>316</v>
      </c>
      <c r="AL466" s="367">
        <v>549</v>
      </c>
      <c r="AM466" s="365">
        <v>42</v>
      </c>
      <c r="AN466" s="162">
        <v>21.0246</v>
      </c>
      <c r="AO466" s="126">
        <f t="shared" si="40"/>
        <v>20.853000000000002</v>
      </c>
      <c r="AP466" s="187" t="s">
        <v>316</v>
      </c>
      <c r="AQ466" s="367">
        <v>549</v>
      </c>
      <c r="AR466" s="365">
        <v>42</v>
      </c>
      <c r="AS466" s="162">
        <v>21.0246</v>
      </c>
    </row>
    <row r="467" spans="11:45" x14ac:dyDescent="0.25">
      <c r="K467" s="161"/>
      <c r="L467" s="166"/>
      <c r="M467" s="166"/>
      <c r="N467" s="166"/>
      <c r="O467" s="166"/>
      <c r="P467" s="155"/>
      <c r="Q467" s="166"/>
      <c r="R467" s="166"/>
      <c r="S467" s="166"/>
      <c r="T467" s="166"/>
      <c r="U467" s="166"/>
      <c r="V467" s="166"/>
      <c r="W467" s="166"/>
      <c r="X467" s="166"/>
      <c r="Y467" s="166"/>
      <c r="Z467" s="166"/>
      <c r="AA467" s="166"/>
      <c r="AB467" s="166"/>
      <c r="AC467" s="166"/>
      <c r="AD467" s="166"/>
      <c r="AE467" s="154">
        <f t="shared" si="38"/>
        <v>21.1069</v>
      </c>
      <c r="AF467" s="59" t="s">
        <v>238</v>
      </c>
      <c r="AG467" s="367">
        <v>514</v>
      </c>
      <c r="AH467" s="365">
        <v>36</v>
      </c>
      <c r="AI467" s="127">
        <v>21.5808</v>
      </c>
      <c r="AJ467" s="126">
        <f t="shared" si="39"/>
        <v>21.0246</v>
      </c>
      <c r="AK467" s="159" t="s">
        <v>287</v>
      </c>
      <c r="AL467" s="367">
        <v>624</v>
      </c>
      <c r="AM467" s="365">
        <v>42</v>
      </c>
      <c r="AN467" s="162">
        <v>21.1069</v>
      </c>
      <c r="AO467" s="126">
        <f t="shared" si="40"/>
        <v>21.0246</v>
      </c>
      <c r="AP467" s="159" t="s">
        <v>287</v>
      </c>
      <c r="AQ467" s="367">
        <v>624</v>
      </c>
      <c r="AR467" s="365">
        <v>42</v>
      </c>
      <c r="AS467" s="162">
        <v>21.1069</v>
      </c>
    </row>
    <row r="468" spans="11:45" x14ac:dyDescent="0.25">
      <c r="K468" s="161"/>
      <c r="L468" s="166"/>
      <c r="M468" s="166"/>
      <c r="N468" s="166"/>
      <c r="O468" s="166"/>
      <c r="P468" s="155"/>
      <c r="Q468" s="166"/>
      <c r="R468" s="166"/>
      <c r="S468" s="166"/>
      <c r="T468" s="166"/>
      <c r="U468" s="166"/>
      <c r="V468" s="166"/>
      <c r="W468" s="166"/>
      <c r="X468" s="166"/>
      <c r="Y468" s="166"/>
      <c r="Z468" s="166"/>
      <c r="AA468" s="166"/>
      <c r="AB468" s="166"/>
      <c r="AC468" s="166"/>
      <c r="AD468" s="166"/>
      <c r="AE468" s="154">
        <f t="shared" si="38"/>
        <v>21.5808</v>
      </c>
      <c r="AF468" s="159" t="s">
        <v>270</v>
      </c>
      <c r="AG468" s="367">
        <v>588</v>
      </c>
      <c r="AH468" s="365">
        <v>36</v>
      </c>
      <c r="AI468" s="162">
        <v>21.657599999999999</v>
      </c>
      <c r="AJ468" s="126">
        <f t="shared" si="39"/>
        <v>21.1069</v>
      </c>
      <c r="AK468" s="167" t="s">
        <v>325</v>
      </c>
      <c r="AL468" s="367">
        <v>504</v>
      </c>
      <c r="AM468" s="365">
        <v>48</v>
      </c>
      <c r="AN468" s="127">
        <v>21.231249999999999</v>
      </c>
      <c r="AO468" s="126">
        <f t="shared" si="40"/>
        <v>21.1069</v>
      </c>
      <c r="AP468" s="167" t="s">
        <v>325</v>
      </c>
      <c r="AQ468" s="367">
        <v>504</v>
      </c>
      <c r="AR468" s="365">
        <v>48</v>
      </c>
      <c r="AS468" s="127">
        <v>21.231249999999999</v>
      </c>
    </row>
    <row r="469" spans="11:45" x14ac:dyDescent="0.25">
      <c r="K469" s="161"/>
      <c r="L469" s="166"/>
      <c r="M469" s="166"/>
      <c r="N469" s="166"/>
      <c r="O469" s="166"/>
      <c r="P469" s="155"/>
      <c r="Q469" s="166"/>
      <c r="R469" s="166"/>
      <c r="S469" s="166"/>
      <c r="T469" s="166"/>
      <c r="U469" s="166"/>
      <c r="V469" s="166"/>
      <c r="W469" s="166"/>
      <c r="X469" s="166"/>
      <c r="Y469" s="166"/>
      <c r="Z469" s="166"/>
      <c r="AA469" s="166"/>
      <c r="AB469" s="166"/>
      <c r="AC469" s="166"/>
      <c r="AD469" s="166"/>
      <c r="AE469" s="154">
        <f t="shared" si="38"/>
        <v>21.657599999999999</v>
      </c>
      <c r="AF469" s="167" t="s">
        <v>305</v>
      </c>
      <c r="AG469" s="365">
        <v>663</v>
      </c>
      <c r="AH469" s="365">
        <v>42</v>
      </c>
      <c r="AI469" s="127">
        <v>21.940250000000002</v>
      </c>
      <c r="AJ469" s="126">
        <f t="shared" si="39"/>
        <v>21.231249999999999</v>
      </c>
      <c r="AK469" s="59" t="s">
        <v>238</v>
      </c>
      <c r="AL469" s="367">
        <v>514</v>
      </c>
      <c r="AM469" s="365">
        <v>36</v>
      </c>
      <c r="AN469" s="127">
        <v>21.5808</v>
      </c>
      <c r="AO469" s="126">
        <f t="shared" si="40"/>
        <v>21.231249999999999</v>
      </c>
      <c r="AP469" s="59" t="s">
        <v>238</v>
      </c>
      <c r="AQ469" s="367">
        <v>514</v>
      </c>
      <c r="AR469" s="365">
        <v>36</v>
      </c>
      <c r="AS469" s="127">
        <v>21.5808</v>
      </c>
    </row>
    <row r="470" spans="11:45" x14ac:dyDescent="0.25">
      <c r="K470" s="125"/>
      <c r="L470" s="166"/>
      <c r="M470" s="166"/>
      <c r="N470" s="166"/>
      <c r="O470" s="166"/>
      <c r="P470" s="155"/>
      <c r="Q470" s="166"/>
      <c r="R470" s="166"/>
      <c r="S470" s="166"/>
      <c r="T470" s="166"/>
      <c r="U470" s="166"/>
      <c r="V470" s="166"/>
      <c r="W470" s="166"/>
      <c r="X470" s="166"/>
      <c r="Y470" s="166"/>
      <c r="Z470" s="166"/>
      <c r="AA470" s="166"/>
      <c r="AB470" s="166"/>
      <c r="AC470" s="166"/>
      <c r="AD470" s="166"/>
      <c r="AE470" s="154">
        <f t="shared" si="38"/>
        <v>21.940250000000002</v>
      </c>
      <c r="AF470" s="59" t="s">
        <v>199</v>
      </c>
      <c r="AG470" s="367">
        <v>656</v>
      </c>
      <c r="AH470" s="365">
        <v>36</v>
      </c>
      <c r="AI470" s="127">
        <v>22.301999999999996</v>
      </c>
      <c r="AJ470" s="126">
        <f t="shared" si="39"/>
        <v>21.5808</v>
      </c>
      <c r="AK470" s="159" t="s">
        <v>270</v>
      </c>
      <c r="AL470" s="367">
        <v>588</v>
      </c>
      <c r="AM470" s="365">
        <v>36</v>
      </c>
      <c r="AN470" s="162">
        <v>21.657599999999999</v>
      </c>
      <c r="AO470" s="126">
        <f t="shared" si="40"/>
        <v>21.5808</v>
      </c>
      <c r="AP470" s="159" t="s">
        <v>270</v>
      </c>
      <c r="AQ470" s="367">
        <v>588</v>
      </c>
      <c r="AR470" s="365">
        <v>36</v>
      </c>
      <c r="AS470" s="162">
        <v>21.657599999999999</v>
      </c>
    </row>
    <row r="471" spans="11:45" x14ac:dyDescent="0.25">
      <c r="K471" s="161"/>
      <c r="L471" s="166"/>
      <c r="M471" s="166"/>
      <c r="N471" s="166"/>
      <c r="O471" s="166"/>
      <c r="P471" s="155"/>
      <c r="Q471" s="166"/>
      <c r="R471" s="166"/>
      <c r="S471" s="166"/>
      <c r="T471" s="166"/>
      <c r="U471" s="166"/>
      <c r="V471" s="166"/>
      <c r="W471" s="166"/>
      <c r="X471" s="166"/>
      <c r="Y471" s="166"/>
      <c r="Z471" s="166"/>
      <c r="AA471" s="166"/>
      <c r="AB471" s="166"/>
      <c r="AC471" s="166"/>
      <c r="AD471" s="166"/>
      <c r="AE471" s="154">
        <f t="shared" si="38"/>
        <v>22.301999999999996</v>
      </c>
      <c r="AF471" s="167" t="s">
        <v>288</v>
      </c>
      <c r="AG471" s="365">
        <v>674</v>
      </c>
      <c r="AH471" s="365">
        <v>42</v>
      </c>
      <c r="AI471" s="127">
        <v>23.150400000000001</v>
      </c>
      <c r="AJ471" s="126">
        <f t="shared" si="39"/>
        <v>21.657599999999999</v>
      </c>
      <c r="AK471" s="123" t="s">
        <v>305</v>
      </c>
      <c r="AL471" s="367">
        <v>663</v>
      </c>
      <c r="AM471" s="365">
        <v>42</v>
      </c>
      <c r="AN471" s="127">
        <v>21.940250000000002</v>
      </c>
      <c r="AO471" s="126">
        <f t="shared" si="40"/>
        <v>21.657599999999999</v>
      </c>
      <c r="AP471" s="123" t="s">
        <v>305</v>
      </c>
      <c r="AQ471" s="367">
        <v>663</v>
      </c>
      <c r="AR471" s="365">
        <v>42</v>
      </c>
      <c r="AS471" s="127">
        <v>21.940250000000002</v>
      </c>
    </row>
    <row r="472" spans="11:45" x14ac:dyDescent="0.25">
      <c r="K472" s="161"/>
      <c r="L472" s="166"/>
      <c r="M472" s="166"/>
      <c r="N472" s="166"/>
      <c r="O472" s="166"/>
      <c r="P472" s="155"/>
      <c r="Q472" s="166"/>
      <c r="R472" s="166"/>
      <c r="S472" s="166"/>
      <c r="T472" s="166"/>
      <c r="U472" s="166"/>
      <c r="V472" s="166"/>
      <c r="W472" s="166"/>
      <c r="X472" s="166"/>
      <c r="Y472" s="166"/>
      <c r="Z472" s="166"/>
      <c r="AA472" s="166"/>
      <c r="AB472" s="166"/>
      <c r="AC472" s="166"/>
      <c r="AD472" s="166"/>
      <c r="AE472" s="154">
        <f t="shared" si="38"/>
        <v>23.150400000000001</v>
      </c>
      <c r="AF472" s="159" t="s">
        <v>38</v>
      </c>
      <c r="AG472" s="367">
        <v>644</v>
      </c>
      <c r="AH472" s="365">
        <v>36</v>
      </c>
      <c r="AI472" s="162">
        <v>23.462399999999999</v>
      </c>
      <c r="AJ472" s="126">
        <f t="shared" si="39"/>
        <v>21.940250000000002</v>
      </c>
      <c r="AK472" s="167" t="s">
        <v>326</v>
      </c>
      <c r="AL472" s="367">
        <v>542</v>
      </c>
      <c r="AM472" s="365">
        <v>48</v>
      </c>
      <c r="AN472" s="127">
        <v>22.080500000000001</v>
      </c>
      <c r="AO472" s="126">
        <f t="shared" si="40"/>
        <v>21.940250000000002</v>
      </c>
      <c r="AP472" s="167" t="s">
        <v>326</v>
      </c>
      <c r="AQ472" s="367">
        <v>542</v>
      </c>
      <c r="AR472" s="365">
        <v>48</v>
      </c>
      <c r="AS472" s="127">
        <v>22.080500000000001</v>
      </c>
    </row>
    <row r="473" spans="11:45" x14ac:dyDescent="0.25">
      <c r="K473" s="161"/>
      <c r="L473" s="166"/>
      <c r="M473" s="166"/>
      <c r="N473" s="166"/>
      <c r="O473" s="166"/>
      <c r="P473" s="155"/>
      <c r="Q473" s="166"/>
      <c r="R473" s="166"/>
      <c r="S473" s="166"/>
      <c r="T473" s="166"/>
      <c r="U473" s="166"/>
      <c r="V473" s="166"/>
      <c r="W473" s="166"/>
      <c r="X473" s="166"/>
      <c r="Y473" s="166"/>
      <c r="Z473" s="166"/>
      <c r="AA473" s="166"/>
      <c r="AB473" s="166"/>
      <c r="AC473" s="166"/>
      <c r="AD473" s="166"/>
      <c r="AE473" s="154">
        <f t="shared" si="38"/>
        <v>23.462399999999999</v>
      </c>
      <c r="AF473" s="167" t="s">
        <v>306</v>
      </c>
      <c r="AG473" s="365">
        <v>746</v>
      </c>
      <c r="AH473" s="365">
        <v>42</v>
      </c>
      <c r="AI473" s="127">
        <v>23.489000000000001</v>
      </c>
      <c r="AJ473" s="126">
        <f t="shared" si="39"/>
        <v>22.080500000000001</v>
      </c>
      <c r="AK473" s="59" t="s">
        <v>199</v>
      </c>
      <c r="AL473" s="367">
        <v>656</v>
      </c>
      <c r="AM473" s="365">
        <v>36</v>
      </c>
      <c r="AN473" s="127">
        <v>22.301999999999996</v>
      </c>
      <c r="AO473" s="126">
        <f t="shared" si="40"/>
        <v>22.080500000000001</v>
      </c>
      <c r="AP473" s="59" t="s">
        <v>199</v>
      </c>
      <c r="AQ473" s="367">
        <v>656</v>
      </c>
      <c r="AR473" s="365">
        <v>36</v>
      </c>
      <c r="AS473" s="127">
        <v>22.301999999999996</v>
      </c>
    </row>
    <row r="474" spans="11:45" x14ac:dyDescent="0.25">
      <c r="K474" s="161"/>
      <c r="L474" s="166"/>
      <c r="M474" s="166"/>
      <c r="N474" s="166"/>
      <c r="O474" s="166"/>
      <c r="P474" s="155"/>
      <c r="Q474" s="166"/>
      <c r="R474" s="166"/>
      <c r="S474" s="166"/>
      <c r="T474" s="166"/>
      <c r="U474" s="166"/>
      <c r="V474" s="166"/>
      <c r="W474" s="166"/>
      <c r="X474" s="166"/>
      <c r="Y474" s="166"/>
      <c r="Z474" s="166"/>
      <c r="AA474" s="166"/>
      <c r="AB474" s="166"/>
      <c r="AC474" s="166"/>
      <c r="AD474" s="166"/>
      <c r="AE474" s="154">
        <f t="shared" si="38"/>
        <v>23.489000000000001</v>
      </c>
      <c r="AF474" s="59" t="s">
        <v>239</v>
      </c>
      <c r="AG474" s="367">
        <v>564</v>
      </c>
      <c r="AH474" s="365">
        <v>36</v>
      </c>
      <c r="AI474" s="127">
        <v>23.59</v>
      </c>
      <c r="AJ474" s="126">
        <f t="shared" si="39"/>
        <v>22.301999999999996</v>
      </c>
      <c r="AK474" s="123" t="s">
        <v>317</v>
      </c>
      <c r="AL474" s="367">
        <v>684</v>
      </c>
      <c r="AM474" s="365">
        <v>48</v>
      </c>
      <c r="AN474" s="127">
        <v>22.436699999999998</v>
      </c>
      <c r="AO474" s="126">
        <f t="shared" si="40"/>
        <v>22.301999999999996</v>
      </c>
      <c r="AP474" s="123" t="s">
        <v>317</v>
      </c>
      <c r="AQ474" s="367">
        <v>684</v>
      </c>
      <c r="AR474" s="365">
        <v>48</v>
      </c>
      <c r="AS474" s="127">
        <v>22.436699999999998</v>
      </c>
    </row>
    <row r="475" spans="11:45" x14ac:dyDescent="0.25">
      <c r="K475" s="161"/>
      <c r="L475" s="166"/>
      <c r="M475" s="166"/>
      <c r="N475" s="166"/>
      <c r="O475" s="166"/>
      <c r="P475" s="155"/>
      <c r="Q475" s="166"/>
      <c r="R475" s="166"/>
      <c r="S475" s="166"/>
      <c r="T475" s="166"/>
      <c r="U475" s="166"/>
      <c r="V475" s="166"/>
      <c r="W475" s="166"/>
      <c r="X475" s="166"/>
      <c r="Y475" s="166"/>
      <c r="Z475" s="166"/>
      <c r="AA475" s="166"/>
      <c r="AB475" s="166"/>
      <c r="AC475" s="166"/>
      <c r="AD475" s="166"/>
      <c r="AE475" s="154">
        <f t="shared" si="38"/>
        <v>23.59</v>
      </c>
      <c r="AF475" s="59" t="s">
        <v>200</v>
      </c>
      <c r="AG475" s="367">
        <v>707</v>
      </c>
      <c r="AH475" s="365">
        <v>36</v>
      </c>
      <c r="AI475" s="127">
        <v>23.625000000000004</v>
      </c>
      <c r="AJ475" s="126">
        <f t="shared" si="39"/>
        <v>22.436699999999998</v>
      </c>
      <c r="AK475" s="61" t="s">
        <v>327</v>
      </c>
      <c r="AL475" s="367">
        <v>580</v>
      </c>
      <c r="AM475" s="365">
        <v>48</v>
      </c>
      <c r="AN475" s="127">
        <v>23.099600000000002</v>
      </c>
      <c r="AO475" s="126">
        <f t="shared" si="40"/>
        <v>22.436699999999998</v>
      </c>
      <c r="AP475" s="61" t="s">
        <v>327</v>
      </c>
      <c r="AQ475" s="367">
        <v>580</v>
      </c>
      <c r="AR475" s="365">
        <v>48</v>
      </c>
      <c r="AS475" s="127">
        <v>23.099600000000002</v>
      </c>
    </row>
    <row r="476" spans="11:45" x14ac:dyDescent="0.25">
      <c r="K476" s="161"/>
      <c r="L476" s="166"/>
      <c r="M476" s="166"/>
      <c r="N476" s="166"/>
      <c r="O476" s="166"/>
      <c r="P476" s="155"/>
      <c r="Q476" s="166"/>
      <c r="R476" s="166"/>
      <c r="S476" s="166"/>
      <c r="T476" s="166"/>
      <c r="U476" s="166"/>
      <c r="V476" s="166"/>
      <c r="W476" s="166"/>
      <c r="X476" s="166"/>
      <c r="Y476" s="166"/>
      <c r="Z476" s="166"/>
      <c r="AA476" s="166"/>
      <c r="AB476" s="166"/>
      <c r="AC476" s="166"/>
      <c r="AD476" s="166"/>
      <c r="AE476" s="154">
        <f t="shared" si="38"/>
        <v>23.625000000000004</v>
      </c>
      <c r="AF476" s="167" t="s">
        <v>289</v>
      </c>
      <c r="AG476" s="365">
        <v>742</v>
      </c>
      <c r="AH476" s="365">
        <v>42</v>
      </c>
      <c r="AI476" s="127">
        <v>24.9312</v>
      </c>
      <c r="AJ476" s="126">
        <f t="shared" si="39"/>
        <v>23.099600000000002</v>
      </c>
      <c r="AK476" s="159" t="s">
        <v>288</v>
      </c>
      <c r="AL476" s="367">
        <v>674</v>
      </c>
      <c r="AM476" s="365">
        <v>42</v>
      </c>
      <c r="AN476" s="162">
        <v>23.150400000000001</v>
      </c>
      <c r="AO476" s="126">
        <f t="shared" si="40"/>
        <v>23.099600000000002</v>
      </c>
      <c r="AP476" s="159" t="s">
        <v>288</v>
      </c>
      <c r="AQ476" s="367">
        <v>674</v>
      </c>
      <c r="AR476" s="365">
        <v>42</v>
      </c>
      <c r="AS476" s="162">
        <v>23.150400000000001</v>
      </c>
    </row>
    <row r="477" spans="11:45" x14ac:dyDescent="0.25">
      <c r="K477" s="161"/>
      <c r="L477" s="166"/>
      <c r="M477" s="166"/>
      <c r="N477" s="166"/>
      <c r="O477" s="166"/>
      <c r="P477" s="155"/>
      <c r="Q477" s="166"/>
      <c r="R477" s="166"/>
      <c r="S477" s="166"/>
      <c r="T477" s="166"/>
      <c r="U477" s="166"/>
      <c r="V477" s="166"/>
      <c r="W477" s="166"/>
      <c r="X477" s="166"/>
      <c r="Y477" s="166"/>
      <c r="Z477" s="166"/>
      <c r="AA477" s="166"/>
      <c r="AB477" s="166"/>
      <c r="AC477" s="166"/>
      <c r="AD477" s="166"/>
      <c r="AE477" s="154">
        <f t="shared" si="38"/>
        <v>24.9312</v>
      </c>
      <c r="AF477" s="59" t="s">
        <v>201</v>
      </c>
      <c r="AG477" s="367">
        <v>756</v>
      </c>
      <c r="AH477" s="365">
        <v>36</v>
      </c>
      <c r="AI477" s="127">
        <v>25.388999999999999</v>
      </c>
      <c r="AJ477" s="126">
        <f t="shared" si="39"/>
        <v>23.150400000000001</v>
      </c>
      <c r="AK477" s="159" t="s">
        <v>38</v>
      </c>
      <c r="AL477" s="367">
        <v>644</v>
      </c>
      <c r="AM477" s="365">
        <v>36</v>
      </c>
      <c r="AN477" s="162">
        <v>23.462399999999999</v>
      </c>
      <c r="AO477" s="126">
        <f t="shared" si="40"/>
        <v>23.150400000000001</v>
      </c>
      <c r="AP477" s="159" t="s">
        <v>38</v>
      </c>
      <c r="AQ477" s="367">
        <v>644</v>
      </c>
      <c r="AR477" s="365">
        <v>36</v>
      </c>
      <c r="AS477" s="162">
        <v>23.462399999999999</v>
      </c>
    </row>
    <row r="478" spans="11:45" x14ac:dyDescent="0.25">
      <c r="K478" s="161"/>
      <c r="L478" s="166"/>
      <c r="M478" s="166"/>
      <c r="N478" s="166"/>
      <c r="O478" s="166"/>
      <c r="P478" s="155"/>
      <c r="Q478" s="166"/>
      <c r="R478" s="166"/>
      <c r="S478" s="166"/>
      <c r="T478" s="166"/>
      <c r="U478" s="166"/>
      <c r="V478" s="166"/>
      <c r="W478" s="166"/>
      <c r="X478" s="166"/>
      <c r="Y478" s="166"/>
      <c r="Z478" s="166"/>
      <c r="AA478" s="166"/>
      <c r="AB478" s="166"/>
      <c r="AC478" s="166"/>
      <c r="AD478" s="166"/>
      <c r="AE478" s="154">
        <f t="shared" si="38"/>
        <v>25.388999999999999</v>
      </c>
      <c r="AF478" s="59" t="s">
        <v>240</v>
      </c>
      <c r="AG478" s="367">
        <v>624</v>
      </c>
      <c r="AH478" s="365">
        <v>36</v>
      </c>
      <c r="AI478" s="127">
        <v>25.596800000000002</v>
      </c>
      <c r="AJ478" s="126">
        <f t="shared" si="39"/>
        <v>23.462399999999999</v>
      </c>
      <c r="AK478" s="60" t="s">
        <v>306</v>
      </c>
      <c r="AL478" s="367">
        <v>746</v>
      </c>
      <c r="AM478" s="365">
        <v>42</v>
      </c>
      <c r="AN478" s="162">
        <v>23.489000000000001</v>
      </c>
      <c r="AO478" s="126">
        <f t="shared" si="40"/>
        <v>23.462399999999999</v>
      </c>
      <c r="AP478" s="60" t="s">
        <v>306</v>
      </c>
      <c r="AQ478" s="367">
        <v>746</v>
      </c>
      <c r="AR478" s="365">
        <v>42</v>
      </c>
      <c r="AS478" s="162">
        <v>23.489000000000001</v>
      </c>
    </row>
    <row r="479" spans="11:45" x14ac:dyDescent="0.25">
      <c r="K479" s="161"/>
      <c r="L479" s="166"/>
      <c r="M479" s="166"/>
      <c r="N479" s="166"/>
      <c r="O479" s="166"/>
      <c r="P479" s="155"/>
      <c r="Q479" s="166"/>
      <c r="R479" s="166"/>
      <c r="S479" s="166"/>
      <c r="T479" s="166"/>
      <c r="U479" s="166"/>
      <c r="V479" s="166"/>
      <c r="W479" s="166"/>
      <c r="X479" s="166"/>
      <c r="Y479" s="166"/>
      <c r="Z479" s="166"/>
      <c r="AA479" s="166"/>
      <c r="AB479" s="166"/>
      <c r="AC479" s="166"/>
      <c r="AD479" s="166"/>
      <c r="AE479" s="154">
        <f t="shared" si="38"/>
        <v>25.596800000000002</v>
      </c>
      <c r="AF479" s="159" t="s">
        <v>271</v>
      </c>
      <c r="AG479" s="367">
        <v>718</v>
      </c>
      <c r="AH479" s="365">
        <v>36</v>
      </c>
      <c r="AI479" s="162">
        <v>26.157999999999998</v>
      </c>
      <c r="AJ479" s="126">
        <f t="shared" si="39"/>
        <v>23.489000000000001</v>
      </c>
      <c r="AK479" s="59" t="s">
        <v>239</v>
      </c>
      <c r="AL479" s="367">
        <v>564</v>
      </c>
      <c r="AM479" s="365">
        <v>36</v>
      </c>
      <c r="AN479" s="127">
        <v>23.59</v>
      </c>
      <c r="AO479" s="126">
        <f t="shared" si="40"/>
        <v>23.489000000000001</v>
      </c>
      <c r="AP479" s="59" t="s">
        <v>239</v>
      </c>
      <c r="AQ479" s="367">
        <v>564</v>
      </c>
      <c r="AR479" s="365">
        <v>36</v>
      </c>
      <c r="AS479" s="127">
        <v>23.59</v>
      </c>
    </row>
    <row r="480" spans="11:45" x14ac:dyDescent="0.25">
      <c r="K480" s="161"/>
      <c r="L480" s="166"/>
      <c r="M480" s="166"/>
      <c r="N480" s="166"/>
      <c r="O480" s="166"/>
      <c r="P480" s="155"/>
      <c r="Q480" s="166"/>
      <c r="R480" s="166"/>
      <c r="S480" s="166"/>
      <c r="T480" s="166"/>
      <c r="U480" s="166"/>
      <c r="V480" s="166"/>
      <c r="W480" s="166"/>
      <c r="X480" s="166"/>
      <c r="Y480" s="166"/>
      <c r="Z480" s="166"/>
      <c r="AA480" s="166"/>
      <c r="AB480" s="166"/>
      <c r="AC480" s="166"/>
      <c r="AD480" s="166"/>
      <c r="AE480" s="154">
        <f t="shared" si="38"/>
        <v>26.157999999999998</v>
      </c>
      <c r="AF480" s="167" t="s">
        <v>307</v>
      </c>
      <c r="AG480" s="365">
        <v>827</v>
      </c>
      <c r="AH480" s="365">
        <v>42</v>
      </c>
      <c r="AI480" s="127">
        <v>26.328299999999999</v>
      </c>
      <c r="AJ480" s="126">
        <f t="shared" si="39"/>
        <v>23.59</v>
      </c>
      <c r="AK480" s="59" t="s">
        <v>200</v>
      </c>
      <c r="AL480" s="367">
        <v>707</v>
      </c>
      <c r="AM480" s="365">
        <v>36</v>
      </c>
      <c r="AN480" s="127">
        <v>23.625000000000004</v>
      </c>
      <c r="AO480" s="126">
        <f t="shared" si="40"/>
        <v>23.59</v>
      </c>
      <c r="AP480" s="59" t="s">
        <v>200</v>
      </c>
      <c r="AQ480" s="367">
        <v>707</v>
      </c>
      <c r="AR480" s="365">
        <v>36</v>
      </c>
      <c r="AS480" s="127">
        <v>23.625000000000004</v>
      </c>
    </row>
    <row r="481" spans="11:45" x14ac:dyDescent="0.25">
      <c r="K481" s="161"/>
      <c r="L481" s="166"/>
      <c r="M481" s="166"/>
      <c r="N481" s="166"/>
      <c r="O481" s="166"/>
      <c r="P481" s="155"/>
      <c r="Q481" s="166"/>
      <c r="R481" s="166"/>
      <c r="S481" s="166"/>
      <c r="T481" s="166"/>
      <c r="U481" s="166"/>
      <c r="V481" s="166"/>
      <c r="W481" s="166"/>
      <c r="X481" s="166"/>
      <c r="Y481" s="166"/>
      <c r="Z481" s="166"/>
      <c r="AA481" s="166"/>
      <c r="AB481" s="166"/>
      <c r="AC481" s="166"/>
      <c r="AD481" s="166"/>
      <c r="AE481" s="154">
        <f t="shared" si="38"/>
        <v>26.328299999999999</v>
      </c>
      <c r="AF481" s="167" t="s">
        <v>290</v>
      </c>
      <c r="AG481" s="365">
        <v>811</v>
      </c>
      <c r="AH481" s="365">
        <v>42</v>
      </c>
      <c r="AI481" s="127">
        <v>26.9558</v>
      </c>
      <c r="AJ481" s="126">
        <f t="shared" si="39"/>
        <v>23.625000000000004</v>
      </c>
      <c r="AK481" s="123" t="s">
        <v>318</v>
      </c>
      <c r="AL481" s="367">
        <v>757</v>
      </c>
      <c r="AM481" s="365">
        <v>48</v>
      </c>
      <c r="AN481" s="127">
        <v>24.319500000000001</v>
      </c>
      <c r="AO481" s="126">
        <f t="shared" si="40"/>
        <v>23.625000000000004</v>
      </c>
      <c r="AP481" s="123" t="s">
        <v>318</v>
      </c>
      <c r="AQ481" s="367">
        <v>757</v>
      </c>
      <c r="AR481" s="365">
        <v>48</v>
      </c>
      <c r="AS481" s="127">
        <v>24.319500000000001</v>
      </c>
    </row>
    <row r="482" spans="11:45" x14ac:dyDescent="0.25">
      <c r="K482" s="161"/>
      <c r="L482" s="166"/>
      <c r="M482" s="166"/>
      <c r="N482" s="166"/>
      <c r="O482" s="166"/>
      <c r="P482" s="155"/>
      <c r="Q482" s="166"/>
      <c r="R482" s="166"/>
      <c r="S482" s="166"/>
      <c r="T482" s="166"/>
      <c r="U482" s="166"/>
      <c r="V482" s="166"/>
      <c r="W482" s="166"/>
      <c r="X482" s="166"/>
      <c r="Y482" s="166"/>
      <c r="Z482" s="166"/>
      <c r="AA482" s="166"/>
      <c r="AB482" s="166"/>
      <c r="AC482" s="166"/>
      <c r="AD482" s="166"/>
      <c r="AE482" s="154">
        <f t="shared" si="38"/>
        <v>26.9558</v>
      </c>
      <c r="AF482" s="59" t="s">
        <v>202</v>
      </c>
      <c r="AG482" s="367">
        <v>838</v>
      </c>
      <c r="AH482" s="365">
        <v>36</v>
      </c>
      <c r="AI482" s="127">
        <v>27.594000000000001</v>
      </c>
      <c r="AJ482" s="126">
        <f t="shared" si="39"/>
        <v>24.319500000000001</v>
      </c>
      <c r="AK482" s="167" t="s">
        <v>328</v>
      </c>
      <c r="AL482" s="367">
        <v>623</v>
      </c>
      <c r="AM482" s="365">
        <v>48</v>
      </c>
      <c r="AN482" s="127">
        <v>24.628249999999998</v>
      </c>
      <c r="AO482" s="126">
        <f t="shared" si="40"/>
        <v>24.319500000000001</v>
      </c>
      <c r="AP482" s="167" t="s">
        <v>328</v>
      </c>
      <c r="AQ482" s="367">
        <v>623</v>
      </c>
      <c r="AR482" s="365">
        <v>48</v>
      </c>
      <c r="AS482" s="127">
        <v>24.628249999999998</v>
      </c>
    </row>
    <row r="483" spans="11:45" x14ac:dyDescent="0.25">
      <c r="K483" s="161"/>
      <c r="L483" s="166"/>
      <c r="M483" s="166"/>
      <c r="N483" s="166"/>
      <c r="O483" s="166"/>
      <c r="P483" s="155"/>
      <c r="Q483" s="166"/>
      <c r="R483" s="166"/>
      <c r="S483" s="166"/>
      <c r="T483" s="166"/>
      <c r="U483" s="166"/>
      <c r="V483" s="166"/>
      <c r="W483" s="166"/>
      <c r="X483" s="166"/>
      <c r="Y483" s="166"/>
      <c r="Z483" s="166"/>
      <c r="AA483" s="166"/>
      <c r="AB483" s="166"/>
      <c r="AC483" s="166"/>
      <c r="AD483" s="166"/>
      <c r="AE483" s="154">
        <f t="shared" si="38"/>
        <v>27.594000000000001</v>
      </c>
      <c r="AF483" s="167" t="s">
        <v>272</v>
      </c>
      <c r="AG483" s="365">
        <v>789</v>
      </c>
      <c r="AH483" s="365">
        <v>42</v>
      </c>
      <c r="AI483" s="127">
        <v>28.438200000000002</v>
      </c>
      <c r="AJ483" s="126">
        <f t="shared" si="39"/>
        <v>24.628249999999998</v>
      </c>
      <c r="AK483" s="159" t="s">
        <v>289</v>
      </c>
      <c r="AL483" s="367">
        <v>742</v>
      </c>
      <c r="AM483" s="365">
        <v>42</v>
      </c>
      <c r="AN483" s="162">
        <v>24.9312</v>
      </c>
      <c r="AO483" s="126">
        <f t="shared" si="40"/>
        <v>24.628249999999998</v>
      </c>
      <c r="AP483" s="159" t="s">
        <v>289</v>
      </c>
      <c r="AQ483" s="367">
        <v>742</v>
      </c>
      <c r="AR483" s="365">
        <v>42</v>
      </c>
      <c r="AS483" s="162">
        <v>24.9312</v>
      </c>
    </row>
    <row r="484" spans="11:45" x14ac:dyDescent="0.25">
      <c r="K484" s="161"/>
      <c r="L484" s="166"/>
      <c r="M484" s="166"/>
      <c r="N484" s="166"/>
      <c r="O484" s="166"/>
      <c r="P484" s="155"/>
      <c r="Q484" s="166"/>
      <c r="R484" s="166"/>
      <c r="S484" s="166"/>
      <c r="T484" s="166"/>
      <c r="U484" s="166"/>
      <c r="V484" s="166"/>
      <c r="W484" s="166"/>
      <c r="X484" s="166"/>
      <c r="Y484" s="166"/>
      <c r="Z484" s="166"/>
      <c r="AA484" s="166"/>
      <c r="AB484" s="166"/>
      <c r="AC484" s="166"/>
      <c r="AD484" s="166"/>
      <c r="AE484" s="154">
        <f t="shared" si="38"/>
        <v>28.438200000000002</v>
      </c>
      <c r="AF484" s="167" t="s">
        <v>308</v>
      </c>
      <c r="AG484" s="365">
        <v>928</v>
      </c>
      <c r="AH484" s="365">
        <v>42</v>
      </c>
      <c r="AI484" s="127">
        <v>28.876200000000001</v>
      </c>
      <c r="AJ484" s="126">
        <f t="shared" si="39"/>
        <v>24.9312</v>
      </c>
      <c r="AK484" s="59" t="s">
        <v>201</v>
      </c>
      <c r="AL484" s="367">
        <v>756</v>
      </c>
      <c r="AM484" s="365">
        <v>36</v>
      </c>
      <c r="AN484" s="127">
        <v>25.388999999999999</v>
      </c>
      <c r="AO484" s="126">
        <f t="shared" si="40"/>
        <v>24.9312</v>
      </c>
      <c r="AP484" s="59" t="s">
        <v>201</v>
      </c>
      <c r="AQ484" s="367">
        <v>756</v>
      </c>
      <c r="AR484" s="365">
        <v>36</v>
      </c>
      <c r="AS484" s="127">
        <v>25.388999999999999</v>
      </c>
    </row>
    <row r="485" spans="11:45" x14ac:dyDescent="0.25">
      <c r="K485" s="161"/>
      <c r="L485" s="166"/>
      <c r="M485" s="166"/>
      <c r="N485" s="166"/>
      <c r="O485" s="166"/>
      <c r="P485" s="155"/>
      <c r="Q485" s="166"/>
      <c r="R485" s="166"/>
      <c r="S485" s="166"/>
      <c r="T485" s="166"/>
      <c r="U485" s="166"/>
      <c r="V485" s="166"/>
      <c r="W485" s="166"/>
      <c r="X485" s="166"/>
      <c r="Y485" s="166"/>
      <c r="Z485" s="166"/>
      <c r="AA485" s="166"/>
      <c r="AB485" s="166"/>
      <c r="AC485" s="166"/>
      <c r="AD485" s="166"/>
      <c r="AE485" s="154">
        <f t="shared" si="38"/>
        <v>28.876200000000001</v>
      </c>
      <c r="AF485" s="167" t="s">
        <v>291</v>
      </c>
      <c r="AG485" s="365">
        <v>884</v>
      </c>
      <c r="AH485" s="365">
        <v>42</v>
      </c>
      <c r="AI485" s="127">
        <v>29.498799999999999</v>
      </c>
      <c r="AJ485" s="126">
        <f t="shared" si="39"/>
        <v>25.388999999999999</v>
      </c>
      <c r="AK485" s="59" t="s">
        <v>240</v>
      </c>
      <c r="AL485" s="367">
        <v>624</v>
      </c>
      <c r="AM485" s="365">
        <v>36</v>
      </c>
      <c r="AN485" s="127">
        <v>25.596800000000002</v>
      </c>
      <c r="AO485" s="126">
        <f t="shared" si="40"/>
        <v>25.388999999999999</v>
      </c>
      <c r="AP485" s="59" t="s">
        <v>240</v>
      </c>
      <c r="AQ485" s="367">
        <v>624</v>
      </c>
      <c r="AR485" s="365">
        <v>36</v>
      </c>
      <c r="AS485" s="127">
        <v>25.596800000000002</v>
      </c>
    </row>
    <row r="486" spans="11:45" x14ac:dyDescent="0.25">
      <c r="K486" s="161"/>
      <c r="L486" s="166"/>
      <c r="M486" s="166"/>
      <c r="N486" s="166"/>
      <c r="O486" s="166"/>
      <c r="P486" s="155"/>
      <c r="Q486" s="166"/>
      <c r="R486" s="166"/>
      <c r="S486" s="166"/>
      <c r="T486" s="166"/>
      <c r="U486" s="166"/>
      <c r="V486" s="166"/>
      <c r="W486" s="166"/>
      <c r="X486" s="166"/>
      <c r="Y486" s="166"/>
      <c r="Z486" s="166"/>
      <c r="AA486" s="166"/>
      <c r="AB486" s="166"/>
      <c r="AC486" s="166"/>
      <c r="AD486" s="166"/>
      <c r="AE486" s="154">
        <f t="shared" si="38"/>
        <v>29.498799999999999</v>
      </c>
      <c r="AF486" s="59" t="s">
        <v>203</v>
      </c>
      <c r="AG486" s="367">
        <v>931</v>
      </c>
      <c r="AH486" s="365">
        <v>36</v>
      </c>
      <c r="AI486" s="127">
        <v>29.987999999999992</v>
      </c>
      <c r="AJ486" s="126">
        <f t="shared" si="39"/>
        <v>25.596800000000002</v>
      </c>
      <c r="AK486" s="60" t="s">
        <v>331</v>
      </c>
      <c r="AL486" s="367">
        <v>854</v>
      </c>
      <c r="AM486" s="365">
        <v>48</v>
      </c>
      <c r="AN486" s="127">
        <v>25.8172</v>
      </c>
      <c r="AO486" s="126">
        <f t="shared" si="40"/>
        <v>25.596800000000002</v>
      </c>
      <c r="AP486" s="60" t="s">
        <v>331</v>
      </c>
      <c r="AQ486" s="367">
        <v>854</v>
      </c>
      <c r="AR486" s="365">
        <v>48</v>
      </c>
      <c r="AS486" s="127">
        <v>25.8172</v>
      </c>
    </row>
    <row r="487" spans="11:45" x14ac:dyDescent="0.25">
      <c r="K487" s="161"/>
      <c r="L487" s="166"/>
      <c r="M487" s="166"/>
      <c r="N487" s="166"/>
      <c r="O487" s="166"/>
      <c r="P487" s="155"/>
      <c r="Q487" s="166"/>
      <c r="R487" s="166"/>
      <c r="S487" s="166"/>
      <c r="T487" s="166"/>
      <c r="U487" s="166"/>
      <c r="V487" s="166"/>
      <c r="W487" s="166"/>
      <c r="X487" s="166"/>
      <c r="Y487" s="166"/>
      <c r="Z487" s="166"/>
      <c r="AA487" s="166"/>
      <c r="AB487" s="166"/>
      <c r="AC487" s="166"/>
      <c r="AD487" s="166"/>
      <c r="AE487" s="154">
        <f t="shared" si="38"/>
        <v>29.987999999999992</v>
      </c>
      <c r="AF487" s="167" t="s">
        <v>273</v>
      </c>
      <c r="AG487" s="365">
        <v>864</v>
      </c>
      <c r="AH487" s="365">
        <v>42</v>
      </c>
      <c r="AI487" s="127">
        <v>31.132799999999996</v>
      </c>
      <c r="AJ487" s="126">
        <f t="shared" si="39"/>
        <v>25.8172</v>
      </c>
      <c r="AK487" s="167" t="s">
        <v>329</v>
      </c>
      <c r="AL487" s="367">
        <v>664</v>
      </c>
      <c r="AM487" s="365">
        <v>48</v>
      </c>
      <c r="AN487" s="127">
        <v>25.98705</v>
      </c>
      <c r="AO487" s="126">
        <f t="shared" si="40"/>
        <v>25.8172</v>
      </c>
      <c r="AP487" s="167" t="s">
        <v>329</v>
      </c>
      <c r="AQ487" s="367">
        <v>664</v>
      </c>
      <c r="AR487" s="365">
        <v>48</v>
      </c>
      <c r="AS487" s="127">
        <v>25.98705</v>
      </c>
    </row>
    <row r="488" spans="11:45" x14ac:dyDescent="0.25">
      <c r="K488" s="161"/>
      <c r="L488" s="166"/>
      <c r="M488" s="166"/>
      <c r="N488" s="166"/>
      <c r="O488" s="166"/>
      <c r="P488" s="155"/>
      <c r="Q488" s="166"/>
      <c r="R488" s="166"/>
      <c r="S488" s="166"/>
      <c r="T488" s="166"/>
      <c r="U488" s="166"/>
      <c r="V488" s="166"/>
      <c r="W488" s="166"/>
      <c r="X488" s="166"/>
      <c r="Y488" s="166"/>
      <c r="Z488" s="166"/>
      <c r="AA488" s="166"/>
      <c r="AB488" s="166"/>
      <c r="AC488" s="166"/>
      <c r="AD488" s="166"/>
      <c r="AE488" s="154">
        <f t="shared" si="38"/>
        <v>31.132799999999996</v>
      </c>
      <c r="AF488" s="167" t="s">
        <v>292</v>
      </c>
      <c r="AG488" s="365">
        <v>970</v>
      </c>
      <c r="AH488" s="365">
        <v>42</v>
      </c>
      <c r="AI488" s="127">
        <v>32.054400000000001</v>
      </c>
      <c r="AJ488" s="126">
        <f t="shared" si="39"/>
        <v>25.98705</v>
      </c>
      <c r="AK488" s="123" t="s">
        <v>319</v>
      </c>
      <c r="AL488" s="367">
        <v>829</v>
      </c>
      <c r="AM488" s="365">
        <v>48</v>
      </c>
      <c r="AN488" s="127">
        <v>26.045399999999997</v>
      </c>
      <c r="AO488" s="126">
        <f t="shared" si="40"/>
        <v>25.98705</v>
      </c>
      <c r="AP488" s="123" t="s">
        <v>319</v>
      </c>
      <c r="AQ488" s="367">
        <v>829</v>
      </c>
      <c r="AR488" s="365">
        <v>48</v>
      </c>
      <c r="AS488" s="127">
        <v>26.045399999999997</v>
      </c>
    </row>
    <row r="489" spans="11:45" x14ac:dyDescent="0.25">
      <c r="K489" s="125"/>
      <c r="L489" s="166"/>
      <c r="M489" s="166"/>
      <c r="N489" s="166"/>
      <c r="O489" s="166"/>
      <c r="P489" s="155"/>
      <c r="Q489" s="166"/>
      <c r="R489" s="166"/>
      <c r="S489" s="166"/>
      <c r="T489" s="166"/>
      <c r="U489" s="166"/>
      <c r="V489" s="166"/>
      <c r="W489" s="166"/>
      <c r="X489" s="166"/>
      <c r="Y489" s="166"/>
      <c r="Z489" s="166"/>
      <c r="AA489" s="166"/>
      <c r="AB489" s="166"/>
      <c r="AC489" s="166"/>
      <c r="AD489" s="166"/>
      <c r="AE489" s="154">
        <f t="shared" si="38"/>
        <v>32.054400000000001</v>
      </c>
      <c r="AF489" s="167" t="s">
        <v>309</v>
      </c>
      <c r="AG489" s="365">
        <v>1030</v>
      </c>
      <c r="AH489" s="365">
        <v>42</v>
      </c>
      <c r="AI489" s="127">
        <v>32.261999999999993</v>
      </c>
      <c r="AJ489" s="126">
        <f t="shared" si="39"/>
        <v>26.045399999999997</v>
      </c>
      <c r="AK489" s="159" t="s">
        <v>271</v>
      </c>
      <c r="AL489" s="367">
        <v>718</v>
      </c>
      <c r="AM489" s="365">
        <v>36</v>
      </c>
      <c r="AN489" s="162">
        <v>26.157999999999998</v>
      </c>
      <c r="AO489" s="126">
        <f t="shared" si="40"/>
        <v>26.045399999999997</v>
      </c>
      <c r="AP489" s="159" t="s">
        <v>271</v>
      </c>
      <c r="AQ489" s="367">
        <v>718</v>
      </c>
      <c r="AR489" s="365">
        <v>36</v>
      </c>
      <c r="AS489" s="162">
        <v>26.157999999999998</v>
      </c>
    </row>
    <row r="490" spans="11:45" x14ac:dyDescent="0.25">
      <c r="K490" s="125"/>
      <c r="L490" s="166"/>
      <c r="M490" s="166"/>
      <c r="N490" s="166"/>
      <c r="O490" s="166"/>
      <c r="P490" s="155"/>
      <c r="Q490" s="166"/>
      <c r="R490" s="166"/>
      <c r="S490" s="166"/>
      <c r="T490" s="166"/>
      <c r="U490" s="166"/>
      <c r="V490" s="166"/>
      <c r="W490" s="166"/>
      <c r="X490" s="166"/>
      <c r="Y490" s="166"/>
      <c r="Z490" s="166"/>
      <c r="AA490" s="166"/>
      <c r="AB490" s="166"/>
      <c r="AC490" s="166"/>
      <c r="AD490" s="166"/>
      <c r="AE490" s="154">
        <f t="shared" si="38"/>
        <v>32.261999999999993</v>
      </c>
      <c r="AF490" s="59" t="s">
        <v>204</v>
      </c>
      <c r="AG490" s="367">
        <v>1040</v>
      </c>
      <c r="AH490" s="365">
        <v>36</v>
      </c>
      <c r="AI490" s="127">
        <v>32.697000000000003</v>
      </c>
      <c r="AJ490" s="126">
        <f t="shared" si="39"/>
        <v>26.157999999999998</v>
      </c>
      <c r="AK490" s="60" t="s">
        <v>307</v>
      </c>
      <c r="AL490" s="367">
        <v>827</v>
      </c>
      <c r="AM490" s="365">
        <v>42</v>
      </c>
      <c r="AN490" s="162">
        <v>26.328299999999999</v>
      </c>
      <c r="AO490" s="126">
        <f t="shared" si="40"/>
        <v>26.157999999999998</v>
      </c>
      <c r="AP490" s="60" t="s">
        <v>307</v>
      </c>
      <c r="AQ490" s="367">
        <v>827</v>
      </c>
      <c r="AR490" s="365">
        <v>42</v>
      </c>
      <c r="AS490" s="162">
        <v>26.328299999999999</v>
      </c>
    </row>
    <row r="491" spans="11:45" x14ac:dyDescent="0.25">
      <c r="K491" s="125"/>
      <c r="L491" s="166"/>
      <c r="M491" s="166"/>
      <c r="N491" s="166"/>
      <c r="O491" s="166"/>
      <c r="P491" s="155"/>
      <c r="Q491" s="166"/>
      <c r="R491" s="166"/>
      <c r="S491" s="166"/>
      <c r="T491" s="166"/>
      <c r="U491" s="166"/>
      <c r="V491" s="166"/>
      <c r="W491" s="166"/>
      <c r="X491" s="166"/>
      <c r="Y491" s="166"/>
      <c r="Z491" s="166"/>
      <c r="AA491" s="166"/>
      <c r="AB491" s="166"/>
      <c r="AC491" s="166"/>
      <c r="AD491" s="166"/>
      <c r="AE491" s="154">
        <f t="shared" si="38"/>
        <v>32.697000000000003</v>
      </c>
      <c r="AF491" s="167" t="s">
        <v>274</v>
      </c>
      <c r="AG491" s="365">
        <v>957</v>
      </c>
      <c r="AH491" s="365">
        <v>42</v>
      </c>
      <c r="AI491" s="127">
        <v>34.275999999999996</v>
      </c>
      <c r="AJ491" s="126">
        <f t="shared" si="39"/>
        <v>26.328299999999999</v>
      </c>
      <c r="AK491" s="159" t="s">
        <v>290</v>
      </c>
      <c r="AL491" s="367">
        <v>811</v>
      </c>
      <c r="AM491" s="365">
        <v>42</v>
      </c>
      <c r="AN491" s="162">
        <v>26.9558</v>
      </c>
      <c r="AO491" s="126">
        <f t="shared" si="40"/>
        <v>26.328299999999999</v>
      </c>
      <c r="AP491" s="159" t="s">
        <v>290</v>
      </c>
      <c r="AQ491" s="367">
        <v>811</v>
      </c>
      <c r="AR491" s="365">
        <v>42</v>
      </c>
      <c r="AS491" s="162">
        <v>26.9558</v>
      </c>
    </row>
    <row r="492" spans="11:45" x14ac:dyDescent="0.25">
      <c r="K492" s="125"/>
      <c r="L492" s="166"/>
      <c r="M492" s="166"/>
      <c r="N492" s="166"/>
      <c r="O492" s="166"/>
      <c r="P492" s="155"/>
      <c r="Q492" s="166"/>
      <c r="R492" s="166"/>
      <c r="S492" s="166"/>
      <c r="T492" s="166"/>
      <c r="U492" s="166"/>
      <c r="V492" s="166"/>
      <c r="W492" s="166"/>
      <c r="X492" s="166"/>
      <c r="Y492" s="166"/>
      <c r="Z492" s="166"/>
      <c r="AA492" s="166"/>
      <c r="AB492" s="166"/>
      <c r="AC492" s="166"/>
      <c r="AD492" s="166"/>
      <c r="AE492" s="154">
        <f t="shared" si="38"/>
        <v>34.275999999999996</v>
      </c>
      <c r="AF492" s="167" t="s">
        <v>293</v>
      </c>
      <c r="AG492" s="365">
        <v>1060</v>
      </c>
      <c r="AH492" s="365">
        <v>42</v>
      </c>
      <c r="AI492" s="127">
        <v>35.093399999999995</v>
      </c>
      <c r="AJ492" s="126">
        <f t="shared" si="39"/>
        <v>26.9558</v>
      </c>
      <c r="AK492" s="60" t="s">
        <v>333</v>
      </c>
      <c r="AL492" s="367">
        <v>913</v>
      </c>
      <c r="AM492" s="365">
        <v>48</v>
      </c>
      <c r="AN492" s="127">
        <v>27.176000000000002</v>
      </c>
      <c r="AO492" s="126">
        <f t="shared" si="40"/>
        <v>26.9558</v>
      </c>
      <c r="AP492" s="60" t="s">
        <v>333</v>
      </c>
      <c r="AQ492" s="367">
        <v>913</v>
      </c>
      <c r="AR492" s="365">
        <v>48</v>
      </c>
      <c r="AS492" s="127">
        <v>27.176000000000002</v>
      </c>
    </row>
    <row r="493" spans="11:45" x14ac:dyDescent="0.25">
      <c r="K493" s="125"/>
      <c r="L493" s="166"/>
      <c r="M493" s="166"/>
      <c r="N493" s="166"/>
      <c r="O493" s="166"/>
      <c r="P493" s="155"/>
      <c r="Q493" s="166"/>
      <c r="R493" s="166"/>
      <c r="S493" s="166"/>
      <c r="T493" s="166"/>
      <c r="U493" s="166"/>
      <c r="V493" s="166"/>
      <c r="W493" s="166"/>
      <c r="X493" s="166"/>
      <c r="Y493" s="166"/>
      <c r="Z493" s="166"/>
      <c r="AA493" s="166"/>
      <c r="AB493" s="166"/>
      <c r="AC493" s="166"/>
      <c r="AD493" s="166"/>
      <c r="AE493" s="154">
        <f t="shared" si="38"/>
        <v>35.093399999999995</v>
      </c>
      <c r="AF493" s="59" t="s">
        <v>205</v>
      </c>
      <c r="AG493" s="367">
        <v>1150</v>
      </c>
      <c r="AH493" s="365">
        <v>36</v>
      </c>
      <c r="AI493" s="127">
        <v>35.658000000000008</v>
      </c>
      <c r="AJ493" s="126">
        <f t="shared" si="39"/>
        <v>27.176000000000002</v>
      </c>
      <c r="AK493" s="123" t="s">
        <v>320</v>
      </c>
      <c r="AL493" s="367">
        <v>917</v>
      </c>
      <c r="AM493" s="365">
        <v>48</v>
      </c>
      <c r="AN493" s="127">
        <v>27.3093</v>
      </c>
      <c r="AO493" s="126">
        <f t="shared" si="40"/>
        <v>27.176000000000002</v>
      </c>
      <c r="AP493" s="123" t="s">
        <v>320</v>
      </c>
      <c r="AQ493" s="367">
        <v>917</v>
      </c>
      <c r="AR493" s="365">
        <v>48</v>
      </c>
      <c r="AS493" s="127">
        <v>27.3093</v>
      </c>
    </row>
    <row r="494" spans="11:45" x14ac:dyDescent="0.25">
      <c r="K494" s="125"/>
      <c r="L494" s="166"/>
      <c r="M494" s="166"/>
      <c r="N494" s="166"/>
      <c r="O494" s="166"/>
      <c r="P494" s="155"/>
      <c r="Q494" s="166"/>
      <c r="R494" s="166"/>
      <c r="S494" s="166"/>
      <c r="T494" s="166"/>
      <c r="U494" s="166"/>
      <c r="V494" s="166"/>
      <c r="W494" s="166"/>
      <c r="X494" s="166"/>
      <c r="Y494" s="166"/>
      <c r="Z494" s="166"/>
      <c r="AA494" s="166"/>
      <c r="AB494" s="166"/>
      <c r="AC494" s="166"/>
      <c r="AD494" s="166"/>
      <c r="AE494" s="154">
        <f t="shared" si="38"/>
        <v>35.658000000000008</v>
      </c>
      <c r="AF494" s="167" t="s">
        <v>275</v>
      </c>
      <c r="AG494" s="365">
        <v>1060</v>
      </c>
      <c r="AH494" s="365">
        <v>42</v>
      </c>
      <c r="AI494" s="127">
        <v>37.223999999999997</v>
      </c>
      <c r="AJ494" s="126">
        <f t="shared" si="39"/>
        <v>27.3093</v>
      </c>
      <c r="AK494" s="59" t="s">
        <v>202</v>
      </c>
      <c r="AL494" s="367">
        <v>838</v>
      </c>
      <c r="AM494" s="365">
        <v>36</v>
      </c>
      <c r="AN494" s="127">
        <v>27.594000000000001</v>
      </c>
      <c r="AO494" s="126">
        <f t="shared" si="40"/>
        <v>27.3093</v>
      </c>
      <c r="AP494" s="59" t="s">
        <v>202</v>
      </c>
      <c r="AQ494" s="367">
        <v>838</v>
      </c>
      <c r="AR494" s="365">
        <v>36</v>
      </c>
      <c r="AS494" s="127">
        <v>27.594000000000001</v>
      </c>
    </row>
    <row r="495" spans="11:45" x14ac:dyDescent="0.25">
      <c r="K495" s="125"/>
      <c r="L495" s="166"/>
      <c r="M495" s="166"/>
      <c r="N495" s="166"/>
      <c r="O495" s="166"/>
      <c r="P495" s="155"/>
      <c r="Q495" s="166"/>
      <c r="R495" s="166"/>
      <c r="S495" s="166"/>
      <c r="T495" s="166"/>
      <c r="U495" s="166"/>
      <c r="V495" s="166"/>
      <c r="W495" s="166"/>
      <c r="X495" s="166"/>
      <c r="Y495" s="166"/>
      <c r="Z495" s="166"/>
      <c r="AA495" s="166"/>
      <c r="AB495" s="166"/>
      <c r="AC495" s="166"/>
      <c r="AD495" s="166"/>
      <c r="AE495" s="154">
        <f t="shared" si="38"/>
        <v>37.223999999999997</v>
      </c>
      <c r="AF495" s="167" t="s">
        <v>294</v>
      </c>
      <c r="AG495" s="365">
        <v>1170</v>
      </c>
      <c r="AH495" s="365">
        <v>42</v>
      </c>
      <c r="AI495" s="127">
        <v>38.653599999999997</v>
      </c>
      <c r="AJ495" s="126">
        <f t="shared" si="39"/>
        <v>27.594000000000001</v>
      </c>
      <c r="AK495" s="167" t="s">
        <v>330</v>
      </c>
      <c r="AL495" s="367">
        <v>719</v>
      </c>
      <c r="AM495" s="365">
        <v>48</v>
      </c>
      <c r="AN495" s="127">
        <v>28.195099999999996</v>
      </c>
      <c r="AO495" s="126">
        <f t="shared" si="40"/>
        <v>27.594000000000001</v>
      </c>
      <c r="AP495" s="167" t="s">
        <v>330</v>
      </c>
      <c r="AQ495" s="367">
        <v>719</v>
      </c>
      <c r="AR495" s="365">
        <v>48</v>
      </c>
      <c r="AS495" s="127">
        <v>28.195099999999996</v>
      </c>
    </row>
    <row r="496" spans="11:45" x14ac:dyDescent="0.25">
      <c r="K496" s="125"/>
      <c r="L496" s="166"/>
      <c r="M496" s="166"/>
      <c r="N496" s="166"/>
      <c r="O496" s="166"/>
      <c r="P496" s="155"/>
      <c r="Q496" s="166"/>
      <c r="R496" s="166"/>
      <c r="S496" s="166"/>
      <c r="T496" s="166"/>
      <c r="U496" s="166"/>
      <c r="V496" s="166"/>
      <c r="W496" s="166"/>
      <c r="X496" s="166"/>
      <c r="Y496" s="166"/>
      <c r="Z496" s="166"/>
      <c r="AA496" s="166"/>
      <c r="AB496" s="166"/>
      <c r="AC496" s="166"/>
      <c r="AD496" s="166"/>
      <c r="AE496" s="154">
        <f t="shared" si="38"/>
        <v>38.653599999999997</v>
      </c>
      <c r="AF496" s="59" t="s">
        <v>206</v>
      </c>
      <c r="AG496" s="367">
        <v>1280</v>
      </c>
      <c r="AH496" s="365">
        <v>36</v>
      </c>
      <c r="AI496" s="127">
        <v>38.682000000000002</v>
      </c>
      <c r="AJ496" s="126">
        <f t="shared" si="39"/>
        <v>28.195099999999996</v>
      </c>
      <c r="AK496" s="159" t="s">
        <v>272</v>
      </c>
      <c r="AL496" s="367">
        <v>789</v>
      </c>
      <c r="AM496" s="365">
        <v>42</v>
      </c>
      <c r="AN496" s="162">
        <v>28.438200000000002</v>
      </c>
      <c r="AO496" s="126">
        <f t="shared" si="40"/>
        <v>28.195099999999996</v>
      </c>
      <c r="AP496" s="159" t="s">
        <v>272</v>
      </c>
      <c r="AQ496" s="367">
        <v>789</v>
      </c>
      <c r="AR496" s="365">
        <v>42</v>
      </c>
      <c r="AS496" s="162">
        <v>28.438200000000002</v>
      </c>
    </row>
    <row r="497" spans="11:45" x14ac:dyDescent="0.25">
      <c r="K497" s="125"/>
      <c r="L497" s="166"/>
      <c r="M497" s="166"/>
      <c r="N497" s="166"/>
      <c r="O497" s="166"/>
      <c r="P497" s="155"/>
      <c r="Q497" s="166"/>
      <c r="R497" s="166"/>
      <c r="S497" s="166"/>
      <c r="T497" s="166"/>
      <c r="U497" s="166"/>
      <c r="V497" s="166"/>
      <c r="W497" s="166"/>
      <c r="X497" s="166"/>
      <c r="Y497" s="166"/>
      <c r="Z497" s="166"/>
      <c r="AA497" s="166"/>
      <c r="AB497" s="166"/>
      <c r="AC497" s="166"/>
      <c r="AD497" s="166"/>
      <c r="AE497" s="154">
        <f t="shared" si="38"/>
        <v>38.682000000000002</v>
      </c>
      <c r="AF497" s="167" t="s">
        <v>276</v>
      </c>
      <c r="AG497" s="365">
        <v>1170</v>
      </c>
      <c r="AH497" s="365">
        <v>42</v>
      </c>
      <c r="AI497" s="127">
        <v>40.8155</v>
      </c>
      <c r="AJ497" s="126">
        <f t="shared" si="39"/>
        <v>28.438200000000002</v>
      </c>
      <c r="AK497" s="123" t="s">
        <v>335</v>
      </c>
      <c r="AL497" s="367">
        <v>972</v>
      </c>
      <c r="AM497" s="365">
        <v>48</v>
      </c>
      <c r="AN497" s="127">
        <v>28.534799999999997</v>
      </c>
      <c r="AO497" s="126">
        <f t="shared" si="40"/>
        <v>28.438200000000002</v>
      </c>
      <c r="AP497" s="123" t="s">
        <v>335</v>
      </c>
      <c r="AQ497" s="367">
        <v>972</v>
      </c>
      <c r="AR497" s="365">
        <v>48</v>
      </c>
      <c r="AS497" s="127">
        <v>28.534799999999997</v>
      </c>
    </row>
    <row r="498" spans="11:45" x14ac:dyDescent="0.25">
      <c r="K498" s="125"/>
      <c r="L498" s="166"/>
      <c r="M498" s="166"/>
      <c r="N498" s="166"/>
      <c r="O498" s="166"/>
      <c r="P498" s="155"/>
      <c r="Q498" s="166"/>
      <c r="R498" s="166"/>
      <c r="S498" s="166"/>
      <c r="T498" s="166"/>
      <c r="U498" s="166"/>
      <c r="V498" s="166"/>
      <c r="W498" s="166"/>
      <c r="X498" s="166"/>
      <c r="Y498" s="166"/>
      <c r="Z498" s="166"/>
      <c r="AA498" s="166"/>
      <c r="AB498" s="166"/>
      <c r="AC498" s="166"/>
      <c r="AD498" s="166"/>
      <c r="AE498" s="154">
        <f t="shared" si="38"/>
        <v>40.8155</v>
      </c>
      <c r="AF498" s="167" t="s">
        <v>295</v>
      </c>
      <c r="AG498" s="365">
        <v>1300</v>
      </c>
      <c r="AH498" s="365">
        <v>42</v>
      </c>
      <c r="AI498" s="127">
        <v>41.975999999999999</v>
      </c>
      <c r="AJ498" s="126">
        <f t="shared" si="39"/>
        <v>28.534799999999997</v>
      </c>
      <c r="AK498" s="159" t="s">
        <v>308</v>
      </c>
      <c r="AL498" s="367">
        <v>928</v>
      </c>
      <c r="AM498" s="365">
        <v>42</v>
      </c>
      <c r="AN498" s="162">
        <v>28.876200000000001</v>
      </c>
      <c r="AO498" s="126">
        <f t="shared" si="40"/>
        <v>28.534799999999997</v>
      </c>
      <c r="AP498" s="159" t="s">
        <v>308</v>
      </c>
      <c r="AQ498" s="367">
        <v>928</v>
      </c>
      <c r="AR498" s="365">
        <v>42</v>
      </c>
      <c r="AS498" s="162">
        <v>28.876200000000001</v>
      </c>
    </row>
    <row r="499" spans="11:45" ht="15.75" thickBot="1" x14ac:dyDescent="0.3">
      <c r="K499" s="125"/>
      <c r="L499" s="166"/>
      <c r="M499" s="166"/>
      <c r="N499" s="166"/>
      <c r="O499" s="166"/>
      <c r="P499" s="155"/>
      <c r="Q499" s="166"/>
      <c r="R499" s="166"/>
      <c r="S499" s="166"/>
      <c r="T499" s="166"/>
      <c r="U499" s="166"/>
      <c r="V499" s="166"/>
      <c r="W499" s="166"/>
      <c r="X499" s="166"/>
      <c r="Y499" s="166"/>
      <c r="Z499" s="166"/>
      <c r="AA499" s="166"/>
      <c r="AB499" s="166"/>
      <c r="AC499" s="166"/>
      <c r="AD499" s="166"/>
      <c r="AE499" s="154">
        <f t="shared" si="38"/>
        <v>41.975999999999999</v>
      </c>
      <c r="AF499" s="188" t="s">
        <v>277</v>
      </c>
      <c r="AG499" s="369">
        <v>1290</v>
      </c>
      <c r="AH499" s="369">
        <v>42</v>
      </c>
      <c r="AI499" s="203">
        <v>44.462899999999998</v>
      </c>
      <c r="AJ499" s="126">
        <f t="shared" si="39"/>
        <v>28.876200000000001</v>
      </c>
      <c r="AK499" s="159" t="s">
        <v>291</v>
      </c>
      <c r="AL499" s="367">
        <v>884</v>
      </c>
      <c r="AM499" s="365">
        <v>42</v>
      </c>
      <c r="AN499" s="162">
        <v>29.498799999999999</v>
      </c>
      <c r="AO499" s="126">
        <f t="shared" si="40"/>
        <v>28.876200000000001</v>
      </c>
      <c r="AP499" s="159" t="s">
        <v>291</v>
      </c>
      <c r="AQ499" s="367">
        <v>884</v>
      </c>
      <c r="AR499" s="365">
        <v>42</v>
      </c>
      <c r="AS499" s="162">
        <v>29.498799999999999</v>
      </c>
    </row>
    <row r="500" spans="11:45" ht="15.75" thickBot="1" x14ac:dyDescent="0.3">
      <c r="K500" s="125"/>
      <c r="L500" s="166"/>
      <c r="M500" s="166"/>
      <c r="N500" s="166"/>
      <c r="O500" s="166"/>
      <c r="P500" s="155"/>
      <c r="Q500" s="166"/>
      <c r="R500" s="166"/>
      <c r="S500" s="166"/>
      <c r="T500" s="166"/>
      <c r="U500" s="166"/>
      <c r="V500" s="166"/>
      <c r="W500" s="166"/>
      <c r="X500" s="166"/>
      <c r="Y500" s="166"/>
      <c r="Z500" s="166"/>
      <c r="AA500" s="166"/>
      <c r="AB500" s="166"/>
      <c r="AC500" s="166"/>
      <c r="AD500" s="166"/>
      <c r="AE500" s="165">
        <f t="shared" si="38"/>
        <v>44.462899999999998</v>
      </c>
      <c r="AF500" s="165" t="s">
        <v>353</v>
      </c>
      <c r="AG500" s="153"/>
      <c r="AH500" s="153"/>
      <c r="AI500" s="377"/>
      <c r="AJ500" s="154">
        <f t="shared" si="39"/>
        <v>29.498799999999999</v>
      </c>
      <c r="AK500" s="159" t="s">
        <v>332</v>
      </c>
      <c r="AL500" s="367">
        <v>809</v>
      </c>
      <c r="AM500" s="365">
        <v>48</v>
      </c>
      <c r="AN500" s="127">
        <v>29.562599999999996</v>
      </c>
      <c r="AO500" s="154">
        <f t="shared" si="40"/>
        <v>29.498799999999999</v>
      </c>
      <c r="AP500" s="159" t="s">
        <v>332</v>
      </c>
      <c r="AQ500" s="367">
        <v>809</v>
      </c>
      <c r="AR500" s="365">
        <v>48</v>
      </c>
      <c r="AS500" s="127">
        <v>29.562599999999996</v>
      </c>
    </row>
    <row r="501" spans="11:45" x14ac:dyDescent="0.25">
      <c r="K501" s="161"/>
      <c r="L501" s="166"/>
      <c r="M501" s="166"/>
      <c r="N501" s="166"/>
      <c r="O501" s="166"/>
      <c r="P501" s="155"/>
      <c r="Q501" s="166"/>
      <c r="R501" s="166"/>
      <c r="S501" s="166"/>
      <c r="T501" s="166"/>
      <c r="U501" s="166"/>
      <c r="V501" s="166"/>
      <c r="W501" s="166"/>
      <c r="X501" s="166"/>
      <c r="Y501" s="166"/>
      <c r="Z501" s="166"/>
      <c r="AA501" s="166"/>
      <c r="AB501" s="166"/>
      <c r="AC501" s="166"/>
      <c r="AD501" s="166"/>
      <c r="AE501" s="166"/>
      <c r="AF501" s="166"/>
      <c r="AG501" s="166"/>
      <c r="AH501" s="166"/>
      <c r="AI501" s="166"/>
      <c r="AJ501" s="154">
        <f t="shared" si="39"/>
        <v>29.562599999999996</v>
      </c>
      <c r="AK501" s="59" t="s">
        <v>203</v>
      </c>
      <c r="AL501" s="367">
        <v>931</v>
      </c>
      <c r="AM501" s="365">
        <v>36</v>
      </c>
      <c r="AN501" s="127">
        <v>29.987999999999992</v>
      </c>
      <c r="AO501" s="154">
        <f t="shared" si="40"/>
        <v>29.562599999999996</v>
      </c>
      <c r="AP501" s="59" t="s">
        <v>203</v>
      </c>
      <c r="AQ501" s="367">
        <v>931</v>
      </c>
      <c r="AR501" s="365">
        <v>36</v>
      </c>
      <c r="AS501" s="127">
        <v>29.987999999999992</v>
      </c>
    </row>
    <row r="502" spans="11:45" x14ac:dyDescent="0.25">
      <c r="K502" s="125"/>
      <c r="L502" s="166"/>
      <c r="M502" s="166"/>
      <c r="N502" s="166"/>
      <c r="O502" s="166"/>
      <c r="P502" s="155"/>
      <c r="Q502" s="166"/>
      <c r="R502" s="166"/>
      <c r="S502" s="166"/>
      <c r="T502" s="166"/>
      <c r="U502" s="166"/>
      <c r="V502" s="166"/>
      <c r="W502" s="166"/>
      <c r="X502" s="166"/>
      <c r="Y502" s="166"/>
      <c r="Z502" s="166"/>
      <c r="AA502" s="166"/>
      <c r="AB502" s="166"/>
      <c r="AC502" s="166"/>
      <c r="AD502" s="166"/>
      <c r="AE502" s="166"/>
      <c r="AF502" s="166"/>
      <c r="AG502" s="166"/>
      <c r="AH502" s="166"/>
      <c r="AI502" s="166"/>
      <c r="AJ502" s="154">
        <f t="shared" si="39"/>
        <v>29.987999999999992</v>
      </c>
      <c r="AK502" s="59" t="s">
        <v>336</v>
      </c>
      <c r="AL502" s="367">
        <v>1050</v>
      </c>
      <c r="AM502" s="365">
        <v>48</v>
      </c>
      <c r="AN502" s="127">
        <v>30.06345</v>
      </c>
      <c r="AO502" s="154">
        <f t="shared" si="40"/>
        <v>29.987999999999992</v>
      </c>
      <c r="AP502" s="59" t="s">
        <v>336</v>
      </c>
      <c r="AQ502" s="367">
        <v>1050</v>
      </c>
      <c r="AR502" s="365">
        <v>48</v>
      </c>
      <c r="AS502" s="127">
        <v>30.06345</v>
      </c>
    </row>
    <row r="503" spans="11:45" x14ac:dyDescent="0.25">
      <c r="K503" s="125"/>
      <c r="L503" s="166"/>
      <c r="M503" s="166"/>
      <c r="N503" s="166"/>
      <c r="O503" s="166"/>
      <c r="P503" s="155"/>
      <c r="Q503" s="166"/>
      <c r="R503" s="166"/>
      <c r="S503" s="166"/>
      <c r="T503" s="166"/>
      <c r="U503" s="166"/>
      <c r="V503" s="166"/>
      <c r="W503" s="166"/>
      <c r="X503" s="166"/>
      <c r="Y503" s="166"/>
      <c r="Z503" s="166"/>
      <c r="AA503" s="166"/>
      <c r="AB503" s="166"/>
      <c r="AC503" s="166"/>
      <c r="AD503" s="166"/>
      <c r="AE503" s="166"/>
      <c r="AF503" s="166"/>
      <c r="AG503" s="166"/>
      <c r="AH503" s="166"/>
      <c r="AI503" s="166"/>
      <c r="AJ503" s="154">
        <f t="shared" si="39"/>
        <v>30.06345</v>
      </c>
      <c r="AK503" s="123" t="s">
        <v>321</v>
      </c>
      <c r="AL503" s="367">
        <v>1010</v>
      </c>
      <c r="AM503" s="365">
        <v>48</v>
      </c>
      <c r="AN503" s="127">
        <v>30.1248</v>
      </c>
      <c r="AO503" s="154">
        <f t="shared" si="40"/>
        <v>30.06345</v>
      </c>
      <c r="AP503" s="123" t="s">
        <v>321</v>
      </c>
      <c r="AQ503" s="367">
        <v>1010</v>
      </c>
      <c r="AR503" s="365">
        <v>48</v>
      </c>
      <c r="AS503" s="127">
        <v>30.1248</v>
      </c>
    </row>
    <row r="504" spans="11:45" x14ac:dyDescent="0.25">
      <c r="K504" s="125"/>
      <c r="L504" s="166"/>
      <c r="M504" s="166"/>
      <c r="N504" s="166"/>
      <c r="O504" s="166"/>
      <c r="P504" s="155"/>
      <c r="Q504" s="166"/>
      <c r="R504" s="166"/>
      <c r="S504" s="166"/>
      <c r="T504" s="166"/>
      <c r="U504" s="166"/>
      <c r="V504" s="166"/>
      <c r="W504" s="166"/>
      <c r="X504" s="166"/>
      <c r="Y504" s="166"/>
      <c r="Z504" s="166"/>
      <c r="AA504" s="166"/>
      <c r="AB504" s="166"/>
      <c r="AC504" s="166"/>
      <c r="AD504" s="166"/>
      <c r="AE504" s="166"/>
      <c r="AF504" s="166"/>
      <c r="AG504" s="166"/>
      <c r="AH504" s="166"/>
      <c r="AI504" s="166"/>
      <c r="AJ504" s="154">
        <f t="shared" si="39"/>
        <v>30.1248</v>
      </c>
      <c r="AK504" s="159" t="s">
        <v>273</v>
      </c>
      <c r="AL504" s="367">
        <v>864</v>
      </c>
      <c r="AM504" s="365">
        <v>42</v>
      </c>
      <c r="AN504" s="162">
        <v>31.132799999999996</v>
      </c>
      <c r="AO504" s="154">
        <f t="shared" si="40"/>
        <v>30.1248</v>
      </c>
      <c r="AP504" s="159" t="s">
        <v>273</v>
      </c>
      <c r="AQ504" s="367">
        <v>864</v>
      </c>
      <c r="AR504" s="365">
        <v>42</v>
      </c>
      <c r="AS504" s="162">
        <v>31.132799999999996</v>
      </c>
    </row>
    <row r="505" spans="11:45" x14ac:dyDescent="0.25">
      <c r="K505" s="125"/>
      <c r="L505" s="166"/>
      <c r="M505" s="166"/>
      <c r="N505" s="166"/>
      <c r="O505" s="166"/>
      <c r="P505" s="155"/>
      <c r="Q505" s="166"/>
      <c r="R505" s="166"/>
      <c r="S505" s="166"/>
      <c r="T505" s="166"/>
      <c r="U505" s="166"/>
      <c r="V505" s="166"/>
      <c r="W505" s="166"/>
      <c r="X505" s="166"/>
      <c r="Y505" s="166"/>
      <c r="Z505" s="166"/>
      <c r="AA505" s="166"/>
      <c r="AB505" s="166"/>
      <c r="AC505" s="166"/>
      <c r="AD505" s="166"/>
      <c r="AE505" s="166"/>
      <c r="AF505" s="166"/>
      <c r="AG505" s="166"/>
      <c r="AH505" s="166"/>
      <c r="AI505" s="166"/>
      <c r="AJ505" s="154">
        <f t="shared" si="39"/>
        <v>31.132799999999996</v>
      </c>
      <c r="AK505" s="159" t="s">
        <v>292</v>
      </c>
      <c r="AL505" s="367">
        <v>970</v>
      </c>
      <c r="AM505" s="365">
        <v>42</v>
      </c>
      <c r="AN505" s="162">
        <v>32.054400000000001</v>
      </c>
      <c r="AO505" s="154">
        <f t="shared" si="40"/>
        <v>31.132799999999996</v>
      </c>
      <c r="AP505" s="159" t="s">
        <v>292</v>
      </c>
      <c r="AQ505" s="367">
        <v>970</v>
      </c>
      <c r="AR505" s="365">
        <v>42</v>
      </c>
      <c r="AS505" s="162">
        <v>32.054400000000001</v>
      </c>
    </row>
    <row r="506" spans="11:45" x14ac:dyDescent="0.25">
      <c r="K506" s="125"/>
      <c r="L506" s="166"/>
      <c r="M506" s="166"/>
      <c r="N506" s="166"/>
      <c r="O506" s="166"/>
      <c r="P506" s="155"/>
      <c r="Q506" s="166"/>
      <c r="R506" s="166"/>
      <c r="S506" s="166"/>
      <c r="T506" s="166"/>
      <c r="U506" s="166"/>
      <c r="V506" s="166"/>
      <c r="W506" s="166"/>
      <c r="X506" s="166"/>
      <c r="Y506" s="166"/>
      <c r="Z506" s="166"/>
      <c r="AA506" s="166"/>
      <c r="AB506" s="166"/>
      <c r="AC506" s="166"/>
      <c r="AD506" s="166"/>
      <c r="AE506" s="166"/>
      <c r="AF506" s="166"/>
      <c r="AG506" s="166"/>
      <c r="AH506" s="166"/>
      <c r="AI506" s="166"/>
      <c r="AJ506" s="154">
        <f t="shared" si="39"/>
        <v>32.054400000000001</v>
      </c>
      <c r="AK506" s="59" t="s">
        <v>337</v>
      </c>
      <c r="AL506" s="367">
        <v>1130</v>
      </c>
      <c r="AM506" s="365">
        <v>48</v>
      </c>
      <c r="AN506" s="127">
        <v>32.101649999999999</v>
      </c>
      <c r="AO506" s="154">
        <f t="shared" si="40"/>
        <v>32.054400000000001</v>
      </c>
      <c r="AP506" s="59" t="s">
        <v>337</v>
      </c>
      <c r="AQ506" s="367">
        <v>1130</v>
      </c>
      <c r="AR506" s="365">
        <v>48</v>
      </c>
      <c r="AS506" s="127">
        <v>32.101649999999999</v>
      </c>
    </row>
    <row r="507" spans="11:45" x14ac:dyDescent="0.25">
      <c r="K507" s="125"/>
      <c r="L507" s="166"/>
      <c r="M507" s="166"/>
      <c r="N507" s="166"/>
      <c r="O507" s="166"/>
      <c r="P507" s="155"/>
      <c r="Q507" s="166"/>
      <c r="R507" s="166"/>
      <c r="S507" s="166"/>
      <c r="T507" s="166"/>
      <c r="U507" s="166"/>
      <c r="V507" s="166"/>
      <c r="W507" s="166"/>
      <c r="X507" s="166"/>
      <c r="Y507" s="166"/>
      <c r="Z507" s="166"/>
      <c r="AA507" s="166"/>
      <c r="AB507" s="166"/>
      <c r="AC507" s="166"/>
      <c r="AD507" s="166"/>
      <c r="AE507" s="166"/>
      <c r="AF507" s="166"/>
      <c r="AG507" s="166"/>
      <c r="AH507" s="166"/>
      <c r="AI507" s="166"/>
      <c r="AJ507" s="154">
        <f t="shared" si="39"/>
        <v>32.101649999999999</v>
      </c>
      <c r="AK507" s="60" t="s">
        <v>309</v>
      </c>
      <c r="AL507" s="367">
        <v>1030</v>
      </c>
      <c r="AM507" s="365">
        <v>42</v>
      </c>
      <c r="AN507" s="162">
        <v>32.261999999999993</v>
      </c>
      <c r="AO507" s="154">
        <f t="shared" si="40"/>
        <v>32.101649999999999</v>
      </c>
      <c r="AP507" s="60" t="s">
        <v>309</v>
      </c>
      <c r="AQ507" s="367">
        <v>1030</v>
      </c>
      <c r="AR507" s="365">
        <v>42</v>
      </c>
      <c r="AS507" s="162">
        <v>32.261999999999993</v>
      </c>
    </row>
    <row r="508" spans="11:45" x14ac:dyDescent="0.25">
      <c r="K508" s="125"/>
      <c r="L508" s="166"/>
      <c r="M508" s="166"/>
      <c r="N508" s="166"/>
      <c r="O508" s="166"/>
      <c r="P508" s="155"/>
      <c r="Q508" s="166"/>
      <c r="R508" s="166"/>
      <c r="S508" s="166"/>
      <c r="T508" s="166"/>
      <c r="U508" s="166"/>
      <c r="V508" s="166"/>
      <c r="W508" s="166"/>
      <c r="X508" s="166"/>
      <c r="Y508" s="166"/>
      <c r="Z508" s="166"/>
      <c r="AA508" s="166"/>
      <c r="AB508" s="166"/>
      <c r="AC508" s="166"/>
      <c r="AD508" s="166"/>
      <c r="AE508" s="166"/>
      <c r="AF508" s="166"/>
      <c r="AG508" s="166"/>
      <c r="AH508" s="166"/>
      <c r="AI508" s="166"/>
      <c r="AJ508" s="154">
        <f t="shared" si="39"/>
        <v>32.261999999999993</v>
      </c>
      <c r="AK508" s="59" t="s">
        <v>334</v>
      </c>
      <c r="AL508" s="367">
        <v>895</v>
      </c>
      <c r="AM508" s="365">
        <v>48</v>
      </c>
      <c r="AN508" s="162">
        <v>32.611199999999997</v>
      </c>
      <c r="AO508" s="154">
        <f t="shared" si="40"/>
        <v>32.261999999999993</v>
      </c>
      <c r="AP508" s="59" t="s">
        <v>334</v>
      </c>
      <c r="AQ508" s="367">
        <v>895</v>
      </c>
      <c r="AR508" s="365">
        <v>48</v>
      </c>
      <c r="AS508" s="162">
        <v>32.611199999999997</v>
      </c>
    </row>
    <row r="509" spans="11:45" x14ac:dyDescent="0.25">
      <c r="K509" s="161"/>
      <c r="L509" s="166"/>
      <c r="M509" s="166"/>
      <c r="N509" s="166"/>
      <c r="O509" s="166"/>
      <c r="P509" s="155"/>
      <c r="Q509" s="166"/>
      <c r="R509" s="166"/>
      <c r="S509" s="166"/>
      <c r="T509" s="166"/>
      <c r="U509" s="166"/>
      <c r="V509" s="166"/>
      <c r="W509" s="166"/>
      <c r="X509" s="166"/>
      <c r="Y509" s="166"/>
      <c r="Z509" s="166"/>
      <c r="AA509" s="166"/>
      <c r="AB509" s="166"/>
      <c r="AC509" s="166"/>
      <c r="AD509" s="166"/>
      <c r="AE509" s="166"/>
      <c r="AF509" s="166"/>
      <c r="AG509" s="166"/>
      <c r="AH509" s="166"/>
      <c r="AI509" s="166"/>
      <c r="AJ509" s="154">
        <f t="shared" si="39"/>
        <v>32.611199999999997</v>
      </c>
      <c r="AK509" s="123" t="s">
        <v>322</v>
      </c>
      <c r="AL509" s="367">
        <v>1110</v>
      </c>
      <c r="AM509" s="365">
        <v>48</v>
      </c>
      <c r="AN509" s="127">
        <v>32.635199999999998</v>
      </c>
      <c r="AO509" s="154">
        <f t="shared" si="40"/>
        <v>32.611199999999997</v>
      </c>
      <c r="AP509" s="123" t="s">
        <v>322</v>
      </c>
      <c r="AQ509" s="367">
        <v>1110</v>
      </c>
      <c r="AR509" s="365">
        <v>48</v>
      </c>
      <c r="AS509" s="127">
        <v>32.635199999999998</v>
      </c>
    </row>
    <row r="510" spans="11:45" x14ac:dyDescent="0.25">
      <c r="K510" s="125"/>
      <c r="L510" s="166"/>
      <c r="M510" s="166"/>
      <c r="N510" s="166"/>
      <c r="O510" s="166"/>
      <c r="P510" s="155"/>
      <c r="Q510" s="166"/>
      <c r="R510" s="166"/>
      <c r="S510" s="166"/>
      <c r="T510" s="166"/>
      <c r="U510" s="166"/>
      <c r="V510" s="166"/>
      <c r="W510" s="166"/>
      <c r="X510" s="166"/>
      <c r="Y510" s="166"/>
      <c r="Z510" s="166"/>
      <c r="AA510" s="166"/>
      <c r="AB510" s="166"/>
      <c r="AC510" s="166"/>
      <c r="AD510" s="166"/>
      <c r="AE510" s="166"/>
      <c r="AF510" s="166"/>
      <c r="AG510" s="166"/>
      <c r="AH510" s="166"/>
      <c r="AI510" s="166"/>
      <c r="AJ510" s="154">
        <f t="shared" si="39"/>
        <v>32.635199999999998</v>
      </c>
      <c r="AK510" s="59" t="s">
        <v>204</v>
      </c>
      <c r="AL510" s="367">
        <v>1040</v>
      </c>
      <c r="AM510" s="365">
        <v>36</v>
      </c>
      <c r="AN510" s="127">
        <v>32.697000000000003</v>
      </c>
      <c r="AO510" s="154">
        <f t="shared" si="40"/>
        <v>32.635199999999998</v>
      </c>
      <c r="AP510" s="59" t="s">
        <v>204</v>
      </c>
      <c r="AQ510" s="367">
        <v>1040</v>
      </c>
      <c r="AR510" s="365">
        <v>36</v>
      </c>
      <c r="AS510" s="127">
        <v>32.697000000000003</v>
      </c>
    </row>
    <row r="511" spans="11:45" x14ac:dyDescent="0.25">
      <c r="K511" s="125"/>
      <c r="L511" s="166"/>
      <c r="M511" s="166"/>
      <c r="N511" s="166"/>
      <c r="O511" s="166"/>
      <c r="P511" s="155"/>
      <c r="Q511" s="166"/>
      <c r="R511" s="166"/>
      <c r="S511" s="166"/>
      <c r="T511" s="166"/>
      <c r="U511" s="166"/>
      <c r="V511" s="166"/>
      <c r="W511" s="166"/>
      <c r="X511" s="166"/>
      <c r="Y511" s="166"/>
      <c r="Z511" s="166"/>
      <c r="AA511" s="166"/>
      <c r="AB511" s="166"/>
      <c r="AC511" s="166"/>
      <c r="AD511" s="166"/>
      <c r="AE511" s="166"/>
      <c r="AF511" s="166"/>
      <c r="AG511" s="166"/>
      <c r="AH511" s="166"/>
      <c r="AI511" s="166"/>
      <c r="AJ511" s="154">
        <f t="shared" si="39"/>
        <v>32.697000000000003</v>
      </c>
      <c r="AK511" s="159" t="s">
        <v>274</v>
      </c>
      <c r="AL511" s="367">
        <v>957</v>
      </c>
      <c r="AM511" s="365">
        <v>42</v>
      </c>
      <c r="AN511" s="162">
        <v>34.275999999999996</v>
      </c>
      <c r="AO511" s="154">
        <f t="shared" si="40"/>
        <v>32.697000000000003</v>
      </c>
      <c r="AP511" s="159" t="s">
        <v>274</v>
      </c>
      <c r="AQ511" s="367">
        <v>957</v>
      </c>
      <c r="AR511" s="365">
        <v>42</v>
      </c>
      <c r="AS511" s="162">
        <v>34.275999999999996</v>
      </c>
    </row>
    <row r="512" spans="11:45" x14ac:dyDescent="0.25">
      <c r="K512" s="161"/>
      <c r="L512" s="166"/>
      <c r="M512" s="166"/>
      <c r="N512" s="166"/>
      <c r="O512" s="166"/>
      <c r="P512" s="155"/>
      <c r="Q512" s="166"/>
      <c r="R512" s="166"/>
      <c r="S512" s="166"/>
      <c r="T512" s="166"/>
      <c r="U512" s="166"/>
      <c r="V512" s="166"/>
      <c r="W512" s="166"/>
      <c r="X512" s="166"/>
      <c r="Y512" s="166"/>
      <c r="Z512" s="166"/>
      <c r="AA512" s="166"/>
      <c r="AB512" s="166"/>
      <c r="AC512" s="166"/>
      <c r="AD512" s="166"/>
      <c r="AE512" s="166"/>
      <c r="AF512" s="166"/>
      <c r="AG512" s="166"/>
      <c r="AH512" s="166"/>
      <c r="AI512" s="166"/>
      <c r="AJ512" s="154">
        <f t="shared" si="39"/>
        <v>34.275999999999996</v>
      </c>
      <c r="AK512" s="61" t="s">
        <v>338</v>
      </c>
      <c r="AL512" s="367">
        <v>1240</v>
      </c>
      <c r="AM512" s="365">
        <v>48</v>
      </c>
      <c r="AN512" s="127">
        <v>34.6494</v>
      </c>
      <c r="AO512" s="154">
        <f t="shared" si="40"/>
        <v>34.275999999999996</v>
      </c>
      <c r="AP512" s="61" t="s">
        <v>338</v>
      </c>
      <c r="AQ512" s="367">
        <v>1240</v>
      </c>
      <c r="AR512" s="365">
        <v>48</v>
      </c>
      <c r="AS512" s="127">
        <v>34.6494</v>
      </c>
    </row>
    <row r="513" spans="11:45" x14ac:dyDescent="0.25">
      <c r="K513" s="125"/>
      <c r="L513" s="166"/>
      <c r="M513" s="166"/>
      <c r="N513" s="166"/>
      <c r="O513" s="166"/>
      <c r="P513" s="155"/>
      <c r="Q513" s="166"/>
      <c r="R513" s="166"/>
      <c r="S513" s="166"/>
      <c r="T513" s="166"/>
      <c r="U513" s="166"/>
      <c r="V513" s="166"/>
      <c r="W513" s="166"/>
      <c r="X513" s="166"/>
      <c r="Y513" s="166"/>
      <c r="Z513" s="166"/>
      <c r="AA513" s="166"/>
      <c r="AB513" s="166"/>
      <c r="AC513" s="166"/>
      <c r="AD513" s="166"/>
      <c r="AE513" s="166"/>
      <c r="AF513" s="166"/>
      <c r="AG513" s="166"/>
      <c r="AH513" s="166"/>
      <c r="AI513" s="166"/>
      <c r="AJ513" s="154">
        <f t="shared" si="39"/>
        <v>34.6494</v>
      </c>
      <c r="AK513" s="159" t="s">
        <v>310</v>
      </c>
      <c r="AL513" s="367">
        <v>1140</v>
      </c>
      <c r="AM513" s="365">
        <v>48</v>
      </c>
      <c r="AN513" s="162">
        <v>35.091999999999999</v>
      </c>
      <c r="AO513" s="154">
        <f t="shared" si="40"/>
        <v>34.6494</v>
      </c>
      <c r="AP513" s="159" t="s">
        <v>310</v>
      </c>
      <c r="AQ513" s="367">
        <v>1140</v>
      </c>
      <c r="AR513" s="365">
        <v>48</v>
      </c>
      <c r="AS513" s="162">
        <v>35.091999999999999</v>
      </c>
    </row>
    <row r="514" spans="11:45" x14ac:dyDescent="0.25">
      <c r="K514" s="125"/>
      <c r="L514" s="166"/>
      <c r="M514" s="166"/>
      <c r="N514" s="166"/>
      <c r="O514" s="166"/>
      <c r="P514" s="155"/>
      <c r="Q514" s="166"/>
      <c r="R514" s="166"/>
      <c r="S514" s="166"/>
      <c r="T514" s="166"/>
      <c r="U514" s="166"/>
      <c r="V514" s="166"/>
      <c r="W514" s="166"/>
      <c r="X514" s="166"/>
      <c r="Y514" s="166"/>
      <c r="Z514" s="166"/>
      <c r="AA514" s="166"/>
      <c r="AB514" s="166"/>
      <c r="AC514" s="166"/>
      <c r="AD514" s="166"/>
      <c r="AE514" s="166"/>
      <c r="AF514" s="166"/>
      <c r="AG514" s="166"/>
      <c r="AH514" s="166"/>
      <c r="AI514" s="166"/>
      <c r="AJ514" s="154">
        <f t="shared" si="39"/>
        <v>35.091999999999999</v>
      </c>
      <c r="AK514" s="159" t="s">
        <v>293</v>
      </c>
      <c r="AL514" s="367">
        <v>1060</v>
      </c>
      <c r="AM514" s="365">
        <v>42</v>
      </c>
      <c r="AN514" s="162">
        <v>35.093399999999995</v>
      </c>
      <c r="AO514" s="154">
        <f t="shared" si="40"/>
        <v>35.091999999999999</v>
      </c>
      <c r="AP514" s="159" t="s">
        <v>293</v>
      </c>
      <c r="AQ514" s="367">
        <v>1060</v>
      </c>
      <c r="AR514" s="365">
        <v>42</v>
      </c>
      <c r="AS514" s="162">
        <v>35.093399999999995</v>
      </c>
    </row>
    <row r="515" spans="11:45" x14ac:dyDescent="0.25">
      <c r="K515" s="125"/>
      <c r="L515" s="166"/>
      <c r="M515" s="166"/>
      <c r="N515" s="166"/>
      <c r="O515" s="166"/>
      <c r="P515" s="155"/>
      <c r="Q515" s="166"/>
      <c r="R515" s="166"/>
      <c r="S515" s="166"/>
      <c r="T515" s="166"/>
      <c r="U515" s="166"/>
      <c r="V515" s="166"/>
      <c r="W515" s="166"/>
      <c r="X515" s="166"/>
      <c r="Y515" s="166"/>
      <c r="Z515" s="166"/>
      <c r="AA515" s="166"/>
      <c r="AB515" s="166"/>
      <c r="AC515" s="166"/>
      <c r="AD515" s="166"/>
      <c r="AE515" s="166"/>
      <c r="AF515" s="166"/>
      <c r="AG515" s="166"/>
      <c r="AH515" s="166"/>
      <c r="AI515" s="166"/>
      <c r="AJ515" s="154">
        <f t="shared" si="39"/>
        <v>35.093399999999995</v>
      </c>
      <c r="AK515" s="59" t="s">
        <v>205</v>
      </c>
      <c r="AL515" s="367">
        <v>1150</v>
      </c>
      <c r="AM515" s="365">
        <v>36</v>
      </c>
      <c r="AN515" s="127">
        <v>35.658000000000008</v>
      </c>
      <c r="AO515" s="154">
        <f t="shared" si="40"/>
        <v>35.093399999999995</v>
      </c>
      <c r="AP515" s="59" t="s">
        <v>205</v>
      </c>
      <c r="AQ515" s="367">
        <v>1150</v>
      </c>
      <c r="AR515" s="365">
        <v>36</v>
      </c>
      <c r="AS515" s="127">
        <v>35.658000000000008</v>
      </c>
    </row>
    <row r="516" spans="11:45" x14ac:dyDescent="0.25">
      <c r="K516" s="125"/>
      <c r="L516" s="166"/>
      <c r="M516" s="166"/>
      <c r="N516" s="166"/>
      <c r="O516" s="166"/>
      <c r="P516" s="155"/>
      <c r="Q516" s="166"/>
      <c r="R516" s="166"/>
      <c r="S516" s="166"/>
      <c r="T516" s="166"/>
      <c r="U516" s="166"/>
      <c r="V516" s="166"/>
      <c r="W516" s="166"/>
      <c r="X516" s="166"/>
      <c r="Y516" s="166"/>
      <c r="Z516" s="166"/>
      <c r="AA516" s="166"/>
      <c r="AB516" s="166"/>
      <c r="AC516" s="166"/>
      <c r="AD516" s="166"/>
      <c r="AE516" s="166"/>
      <c r="AF516" s="166"/>
      <c r="AG516" s="166"/>
      <c r="AH516" s="166"/>
      <c r="AI516" s="166"/>
      <c r="AJ516" s="154">
        <f t="shared" si="39"/>
        <v>35.658000000000008</v>
      </c>
      <c r="AK516" s="167" t="s">
        <v>323</v>
      </c>
      <c r="AL516" s="367">
        <v>1230</v>
      </c>
      <c r="AM516" s="365">
        <v>48</v>
      </c>
      <c r="AN516" s="127">
        <v>36.389199999999995</v>
      </c>
      <c r="AO516" s="154">
        <f t="shared" si="40"/>
        <v>35.658000000000008</v>
      </c>
      <c r="AP516" s="167" t="s">
        <v>323</v>
      </c>
      <c r="AQ516" s="367">
        <v>1230</v>
      </c>
      <c r="AR516" s="365">
        <v>48</v>
      </c>
      <c r="AS516" s="127">
        <v>36.389199999999995</v>
      </c>
    </row>
    <row r="517" spans="11:45" x14ac:dyDescent="0.25">
      <c r="K517" s="125"/>
      <c r="L517" s="166"/>
      <c r="M517" s="166"/>
      <c r="N517" s="166"/>
      <c r="O517" s="166"/>
      <c r="P517" s="155"/>
      <c r="Q517" s="166"/>
      <c r="R517" s="166"/>
      <c r="S517" s="166"/>
      <c r="T517" s="166"/>
      <c r="U517" s="166"/>
      <c r="V517" s="166"/>
      <c r="W517" s="166"/>
      <c r="X517" s="166"/>
      <c r="Y517" s="166"/>
      <c r="Z517" s="166"/>
      <c r="AA517" s="166"/>
      <c r="AB517" s="166"/>
      <c r="AC517" s="166"/>
      <c r="AD517" s="166"/>
      <c r="AE517" s="166"/>
      <c r="AF517" s="166"/>
      <c r="AG517" s="166"/>
      <c r="AH517" s="166"/>
      <c r="AI517" s="166"/>
      <c r="AJ517" s="154">
        <f t="shared" si="39"/>
        <v>36.389199999999995</v>
      </c>
      <c r="AK517" s="159" t="s">
        <v>275</v>
      </c>
      <c r="AL517" s="367">
        <v>1060</v>
      </c>
      <c r="AM517" s="365">
        <v>42</v>
      </c>
      <c r="AN517" s="162">
        <v>37.223999999999997</v>
      </c>
      <c r="AO517" s="154">
        <f t="shared" si="40"/>
        <v>36.389199999999995</v>
      </c>
      <c r="AP517" s="159" t="s">
        <v>275</v>
      </c>
      <c r="AQ517" s="367">
        <v>1060</v>
      </c>
      <c r="AR517" s="365">
        <v>42</v>
      </c>
      <c r="AS517" s="162">
        <v>37.223999999999997</v>
      </c>
    </row>
    <row r="518" spans="11:45" x14ac:dyDescent="0.25">
      <c r="K518" s="125"/>
      <c r="L518" s="166"/>
      <c r="M518" s="166"/>
      <c r="N518" s="166"/>
      <c r="O518" s="166"/>
      <c r="P518" s="155"/>
      <c r="Q518" s="166"/>
      <c r="R518" s="166"/>
      <c r="S518" s="166"/>
      <c r="T518" s="166"/>
      <c r="U518" s="166"/>
      <c r="V518" s="166"/>
      <c r="W518" s="166"/>
      <c r="X518" s="166"/>
      <c r="Y518" s="166"/>
      <c r="Z518" s="166"/>
      <c r="AA518" s="166"/>
      <c r="AB518" s="166"/>
      <c r="AC518" s="166"/>
      <c r="AD518" s="166"/>
      <c r="AE518" s="166"/>
      <c r="AF518" s="166"/>
      <c r="AG518" s="166"/>
      <c r="AH518" s="166"/>
      <c r="AI518" s="166"/>
      <c r="AJ518" s="154">
        <f t="shared" si="39"/>
        <v>37.223999999999997</v>
      </c>
      <c r="AK518" s="167" t="s">
        <v>339</v>
      </c>
      <c r="AL518" s="367">
        <v>1350</v>
      </c>
      <c r="AM518" s="365">
        <v>48</v>
      </c>
      <c r="AN518" s="127">
        <v>38.046400000000006</v>
      </c>
      <c r="AO518" s="154">
        <f t="shared" si="40"/>
        <v>37.223999999999997</v>
      </c>
      <c r="AP518" s="167" t="s">
        <v>339</v>
      </c>
      <c r="AQ518" s="367">
        <v>1350</v>
      </c>
      <c r="AR518" s="365">
        <v>48</v>
      </c>
      <c r="AS518" s="127">
        <v>38.046400000000006</v>
      </c>
    </row>
    <row r="519" spans="11:45" x14ac:dyDescent="0.25">
      <c r="K519" s="125"/>
      <c r="L519" s="166"/>
      <c r="M519" s="166"/>
      <c r="N519" s="166"/>
      <c r="O519" s="166"/>
      <c r="P519" s="155"/>
      <c r="Q519" s="166"/>
      <c r="R519" s="166"/>
      <c r="S519" s="166"/>
      <c r="T519" s="166"/>
      <c r="U519" s="166"/>
      <c r="V519" s="166"/>
      <c r="W519" s="166"/>
      <c r="X519" s="166"/>
      <c r="Y519" s="166"/>
      <c r="Z519" s="166"/>
      <c r="AA519" s="166"/>
      <c r="AB519" s="166"/>
      <c r="AC519" s="166"/>
      <c r="AD519" s="166"/>
      <c r="AE519" s="166"/>
      <c r="AF519" s="166"/>
      <c r="AG519" s="166"/>
      <c r="AH519" s="166"/>
      <c r="AI519" s="166"/>
      <c r="AJ519" s="154">
        <f t="shared" si="39"/>
        <v>38.046400000000006</v>
      </c>
      <c r="AK519" s="159" t="s">
        <v>311</v>
      </c>
      <c r="AL519" s="367">
        <v>1250</v>
      </c>
      <c r="AM519" s="365">
        <v>48</v>
      </c>
      <c r="AN519" s="162">
        <v>38.501600000000003</v>
      </c>
      <c r="AO519" s="154">
        <f t="shared" si="40"/>
        <v>38.046400000000006</v>
      </c>
      <c r="AP519" s="159" t="s">
        <v>311</v>
      </c>
      <c r="AQ519" s="367">
        <v>1250</v>
      </c>
      <c r="AR519" s="365">
        <v>48</v>
      </c>
      <c r="AS519" s="162">
        <v>38.501600000000003</v>
      </c>
    </row>
    <row r="520" spans="11:45" x14ac:dyDescent="0.25">
      <c r="K520" s="201"/>
      <c r="L520" s="166"/>
      <c r="M520" s="166"/>
      <c r="N520" s="166"/>
      <c r="O520" s="166"/>
      <c r="P520" s="155"/>
      <c r="Q520" s="166"/>
      <c r="R520" s="166"/>
      <c r="S520" s="166"/>
      <c r="T520" s="166"/>
      <c r="U520" s="166"/>
      <c r="V520" s="166"/>
      <c r="W520" s="166"/>
      <c r="X520" s="166"/>
      <c r="Y520" s="166"/>
      <c r="Z520" s="166"/>
      <c r="AA520" s="166"/>
      <c r="AB520" s="166"/>
      <c r="AC520" s="166"/>
      <c r="AD520" s="166"/>
      <c r="AE520" s="166"/>
      <c r="AF520" s="166"/>
      <c r="AG520" s="166"/>
      <c r="AH520" s="166"/>
      <c r="AI520" s="166"/>
      <c r="AJ520" s="154">
        <f t="shared" si="39"/>
        <v>38.501600000000003</v>
      </c>
      <c r="AK520" s="159" t="s">
        <v>294</v>
      </c>
      <c r="AL520" s="367">
        <v>1170</v>
      </c>
      <c r="AM520" s="365">
        <v>42</v>
      </c>
      <c r="AN520" s="162">
        <v>38.653599999999997</v>
      </c>
      <c r="AO520" s="154">
        <f t="shared" si="40"/>
        <v>38.501600000000003</v>
      </c>
      <c r="AP520" s="159" t="s">
        <v>294</v>
      </c>
      <c r="AQ520" s="367">
        <v>1170</v>
      </c>
      <c r="AR520" s="365">
        <v>42</v>
      </c>
      <c r="AS520" s="162">
        <v>38.653599999999997</v>
      </c>
    </row>
    <row r="521" spans="11:45" x14ac:dyDescent="0.25">
      <c r="N521" s="166"/>
      <c r="O521" s="166"/>
      <c r="P521" s="155"/>
      <c r="Q521" s="166"/>
      <c r="R521" s="166"/>
      <c r="S521" s="166"/>
      <c r="T521" s="166"/>
      <c r="U521" s="166"/>
      <c r="V521" s="166"/>
      <c r="W521" s="166"/>
      <c r="X521" s="166"/>
      <c r="Y521" s="166"/>
      <c r="Z521" s="166"/>
      <c r="AA521" s="166"/>
      <c r="AB521" s="166"/>
      <c r="AC521" s="166"/>
      <c r="AD521" s="166"/>
      <c r="AE521" s="166"/>
      <c r="AF521" s="166"/>
      <c r="AG521" s="166"/>
      <c r="AH521" s="166"/>
      <c r="AI521" s="166"/>
      <c r="AJ521" s="154">
        <f t="shared" si="39"/>
        <v>38.653599999999997</v>
      </c>
      <c r="AK521" s="59" t="s">
        <v>206</v>
      </c>
      <c r="AL521" s="367">
        <v>1280</v>
      </c>
      <c r="AM521" s="365">
        <v>36</v>
      </c>
      <c r="AN521" s="127">
        <v>38.682000000000002</v>
      </c>
      <c r="AO521" s="154">
        <f t="shared" si="40"/>
        <v>38.653599999999997</v>
      </c>
      <c r="AP521" s="59" t="s">
        <v>206</v>
      </c>
      <c r="AQ521" s="367">
        <v>1280</v>
      </c>
      <c r="AR521" s="365">
        <v>36</v>
      </c>
      <c r="AS521" s="127">
        <v>38.682000000000002</v>
      </c>
    </row>
    <row r="522" spans="11:45" x14ac:dyDescent="0.25">
      <c r="N522" s="166"/>
      <c r="O522" s="166"/>
      <c r="P522" s="155"/>
      <c r="Q522" s="166"/>
      <c r="R522" s="166"/>
      <c r="S522" s="166"/>
      <c r="T522" s="166"/>
      <c r="U522" s="166"/>
      <c r="V522" s="166"/>
      <c r="W522" s="166"/>
      <c r="X522" s="166"/>
      <c r="Y522" s="166"/>
      <c r="Z522" s="166"/>
      <c r="AA522" s="166"/>
      <c r="AB522" s="166"/>
      <c r="AC522" s="166"/>
      <c r="AD522" s="166"/>
      <c r="AE522" s="166"/>
      <c r="AF522" s="166"/>
      <c r="AG522" s="166"/>
      <c r="AH522" s="166"/>
      <c r="AI522" s="166"/>
      <c r="AJ522" s="154">
        <f t="shared" si="39"/>
        <v>38.682000000000002</v>
      </c>
      <c r="AK522" s="159" t="s">
        <v>276</v>
      </c>
      <c r="AL522" s="367">
        <v>1170</v>
      </c>
      <c r="AM522" s="365">
        <v>42</v>
      </c>
      <c r="AN522" s="162">
        <v>40.8155</v>
      </c>
      <c r="AO522" s="154">
        <f t="shared" si="40"/>
        <v>38.682000000000002</v>
      </c>
      <c r="AP522" s="159" t="s">
        <v>276</v>
      </c>
      <c r="AQ522" s="367">
        <v>1170</v>
      </c>
      <c r="AR522" s="365">
        <v>42</v>
      </c>
      <c r="AS522" s="162">
        <v>40.8155</v>
      </c>
    </row>
    <row r="523" spans="11:45" x14ac:dyDescent="0.25">
      <c r="N523" s="166"/>
      <c r="O523" s="166"/>
      <c r="P523" s="155"/>
      <c r="Q523" s="166"/>
      <c r="R523" s="166"/>
      <c r="S523" s="166"/>
      <c r="T523" s="166"/>
      <c r="U523" s="166"/>
      <c r="V523" s="166"/>
      <c r="W523" s="166"/>
      <c r="X523" s="166"/>
      <c r="Y523" s="166"/>
      <c r="Z523" s="166"/>
      <c r="AA523" s="166"/>
      <c r="AB523" s="166"/>
      <c r="AC523" s="166"/>
      <c r="AD523" s="166"/>
      <c r="AE523" s="166"/>
      <c r="AF523" s="166"/>
      <c r="AG523" s="166"/>
      <c r="AH523" s="166"/>
      <c r="AI523" s="166"/>
      <c r="AJ523" s="154">
        <f t="shared" si="39"/>
        <v>40.8155</v>
      </c>
      <c r="AK523" s="167" t="s">
        <v>340</v>
      </c>
      <c r="AL523" s="367">
        <v>1490</v>
      </c>
      <c r="AM523" s="365">
        <v>48</v>
      </c>
      <c r="AN523" s="127">
        <v>41.492199999999997</v>
      </c>
      <c r="AO523" s="154">
        <f t="shared" si="40"/>
        <v>40.8155</v>
      </c>
      <c r="AP523" s="167" t="s">
        <v>340</v>
      </c>
      <c r="AQ523" s="367">
        <v>1490</v>
      </c>
      <c r="AR523" s="365">
        <v>48</v>
      </c>
      <c r="AS523" s="127">
        <v>41.492199999999997</v>
      </c>
    </row>
    <row r="524" spans="11:45" x14ac:dyDescent="0.25">
      <c r="N524" s="166"/>
      <c r="O524" s="166"/>
      <c r="P524" s="155"/>
      <c r="Q524" s="166"/>
      <c r="R524" s="166"/>
      <c r="S524" s="166"/>
      <c r="T524" s="166"/>
      <c r="U524" s="166"/>
      <c r="V524" s="166"/>
      <c r="W524" s="166"/>
      <c r="X524" s="166"/>
      <c r="Y524" s="166"/>
      <c r="Z524" s="166"/>
      <c r="AA524" s="166"/>
      <c r="AB524" s="166"/>
      <c r="AC524" s="166"/>
      <c r="AD524" s="166"/>
      <c r="AE524" s="166"/>
      <c r="AF524" s="166"/>
      <c r="AG524" s="166"/>
      <c r="AH524" s="166"/>
      <c r="AI524" s="166"/>
      <c r="AJ524" s="154">
        <f t="shared" si="39"/>
        <v>41.492199999999997</v>
      </c>
      <c r="AK524" s="159" t="s">
        <v>295</v>
      </c>
      <c r="AL524" s="367">
        <v>1300</v>
      </c>
      <c r="AM524" s="365">
        <v>42</v>
      </c>
      <c r="AN524" s="162">
        <v>41.975999999999999</v>
      </c>
      <c r="AO524" s="154">
        <f t="shared" si="40"/>
        <v>41.492199999999997</v>
      </c>
      <c r="AP524" s="159" t="s">
        <v>295</v>
      </c>
      <c r="AQ524" s="367">
        <v>1300</v>
      </c>
      <c r="AR524" s="365">
        <v>42</v>
      </c>
      <c r="AS524" s="162">
        <v>41.975999999999999</v>
      </c>
    </row>
    <row r="525" spans="11:45" x14ac:dyDescent="0.25">
      <c r="N525" s="166"/>
      <c r="O525" s="166"/>
      <c r="P525" s="155"/>
      <c r="Q525" s="166"/>
      <c r="R525" s="166"/>
      <c r="S525" s="166"/>
      <c r="T525" s="166"/>
      <c r="U525" s="166"/>
      <c r="V525" s="166"/>
      <c r="W525" s="166"/>
      <c r="X525" s="166"/>
      <c r="Y525" s="166"/>
      <c r="Z525" s="166"/>
      <c r="AA525" s="166"/>
      <c r="AB525" s="166"/>
      <c r="AC525" s="166"/>
      <c r="AD525" s="166"/>
      <c r="AE525" s="166"/>
      <c r="AF525" s="166"/>
      <c r="AG525" s="166"/>
      <c r="AH525" s="166"/>
      <c r="AI525" s="166"/>
      <c r="AJ525" s="154">
        <f t="shared" si="39"/>
        <v>41.975999999999999</v>
      </c>
      <c r="AK525" s="352" t="s">
        <v>277</v>
      </c>
      <c r="AL525" s="372">
        <v>1290</v>
      </c>
      <c r="AM525" s="380">
        <v>42</v>
      </c>
      <c r="AN525" s="353">
        <v>44.462899999999998</v>
      </c>
      <c r="AO525" s="154">
        <f t="shared" si="40"/>
        <v>41.975999999999999</v>
      </c>
      <c r="AP525" s="352" t="s">
        <v>277</v>
      </c>
      <c r="AQ525" s="372">
        <v>1290</v>
      </c>
      <c r="AR525" s="380">
        <v>42</v>
      </c>
      <c r="AS525" s="353">
        <v>44.462899999999998</v>
      </c>
    </row>
    <row r="526" spans="11:45" ht="15.75" thickBot="1" x14ac:dyDescent="0.3">
      <c r="N526" s="166"/>
      <c r="O526" s="166"/>
      <c r="P526" s="155"/>
      <c r="Q526" s="166"/>
      <c r="R526" s="166"/>
      <c r="S526" s="166"/>
      <c r="T526" s="166"/>
      <c r="U526" s="155"/>
      <c r="V526" s="166"/>
      <c r="W526" s="166"/>
      <c r="X526" s="166"/>
      <c r="Y526" s="166"/>
      <c r="Z526" s="155"/>
      <c r="AA526" s="166"/>
      <c r="AB526" s="166"/>
      <c r="AC526" s="166"/>
      <c r="AD526" s="166"/>
      <c r="AE526" s="155"/>
      <c r="AF526" s="166"/>
      <c r="AG526" s="166"/>
      <c r="AH526" s="166"/>
      <c r="AI526" s="166"/>
      <c r="AJ526" s="165">
        <f t="shared" si="39"/>
        <v>44.462899999999998</v>
      </c>
      <c r="AK526" s="165" t="s">
        <v>353</v>
      </c>
      <c r="AL526" s="153"/>
      <c r="AM526" s="151"/>
      <c r="AN526" s="198"/>
      <c r="AO526" s="154">
        <f t="shared" si="40"/>
        <v>44.462899999999998</v>
      </c>
      <c r="AP526" s="65" t="s">
        <v>341</v>
      </c>
      <c r="AQ526" s="388">
        <v>1650</v>
      </c>
      <c r="AR526" s="389">
        <v>54</v>
      </c>
      <c r="AS526" s="200">
        <v>46.199200000000005</v>
      </c>
    </row>
    <row r="527" spans="11:45" x14ac:dyDescent="0.25">
      <c r="N527" s="166"/>
      <c r="O527" s="166"/>
      <c r="P527" s="155"/>
      <c r="Q527" s="166"/>
      <c r="R527" s="166"/>
      <c r="S527" s="166"/>
      <c r="T527" s="166"/>
      <c r="U527" s="155"/>
      <c r="V527" s="166"/>
      <c r="W527" s="166"/>
      <c r="X527" s="166"/>
      <c r="Y527" s="166"/>
      <c r="Z527" s="155"/>
      <c r="AA527" s="166"/>
      <c r="AB527" s="166"/>
      <c r="AC527" s="166"/>
      <c r="AD527" s="166"/>
      <c r="AE527" s="155"/>
      <c r="AF527" s="166"/>
      <c r="AG527" s="166"/>
      <c r="AH527" s="166"/>
      <c r="AI527" s="166"/>
      <c r="AJ527" s="155"/>
      <c r="AK527" s="166"/>
      <c r="AL527" s="166"/>
      <c r="AM527" s="125"/>
      <c r="AN527" s="125"/>
      <c r="AO527" s="154">
        <f t="shared" si="40"/>
        <v>46.199200000000005</v>
      </c>
      <c r="AP527" s="61" t="s">
        <v>342</v>
      </c>
      <c r="AQ527" s="367">
        <v>1830</v>
      </c>
      <c r="AR527" s="365">
        <v>54</v>
      </c>
      <c r="AS527" s="127">
        <v>50.954999999999998</v>
      </c>
    </row>
    <row r="528" spans="11:45" x14ac:dyDescent="0.25">
      <c r="N528" s="166"/>
      <c r="O528" s="166"/>
      <c r="P528" s="155"/>
      <c r="Q528" s="166"/>
      <c r="R528" s="166"/>
      <c r="S528" s="166"/>
      <c r="T528" s="166"/>
      <c r="U528" s="155"/>
      <c r="V528" s="166"/>
      <c r="W528" s="166"/>
      <c r="X528" s="166"/>
      <c r="Y528" s="166"/>
      <c r="Z528" s="155"/>
      <c r="AA528" s="166"/>
      <c r="AB528" s="166"/>
      <c r="AC528" s="166"/>
      <c r="AD528" s="166"/>
      <c r="AE528" s="155"/>
      <c r="AF528" s="166"/>
      <c r="AG528" s="166"/>
      <c r="AH528" s="166"/>
      <c r="AI528" s="166"/>
      <c r="AJ528" s="155"/>
      <c r="AK528" s="166"/>
      <c r="AL528" s="166"/>
      <c r="AM528" s="125"/>
      <c r="AN528" s="125"/>
      <c r="AO528" s="154">
        <f t="shared" si="40"/>
        <v>50.954999999999998</v>
      </c>
      <c r="AP528" s="167" t="s">
        <v>343</v>
      </c>
      <c r="AQ528" s="367">
        <v>1990</v>
      </c>
      <c r="AR528" s="365">
        <v>54</v>
      </c>
      <c r="AS528" s="127">
        <v>54.691700000000004</v>
      </c>
    </row>
    <row r="529" spans="14:45" x14ac:dyDescent="0.25">
      <c r="N529" s="166"/>
      <c r="O529" s="166"/>
      <c r="P529" s="155"/>
      <c r="Q529" s="166"/>
      <c r="R529" s="166"/>
      <c r="S529" s="166"/>
      <c r="T529" s="166"/>
      <c r="U529" s="155"/>
      <c r="V529" s="166"/>
      <c r="W529" s="166"/>
      <c r="X529" s="166"/>
      <c r="Y529" s="166"/>
      <c r="Z529" s="155"/>
      <c r="AA529" s="166"/>
      <c r="AB529" s="166"/>
      <c r="AC529" s="166"/>
      <c r="AD529" s="166"/>
      <c r="AE529" s="155"/>
      <c r="AF529" s="166"/>
      <c r="AG529" s="166"/>
      <c r="AH529" s="166"/>
      <c r="AI529" s="166"/>
      <c r="AJ529" s="155"/>
      <c r="AK529" s="166"/>
      <c r="AL529" s="166"/>
      <c r="AM529" s="125"/>
      <c r="AN529" s="125"/>
      <c r="AO529" s="154">
        <f t="shared" si="40"/>
        <v>54.691700000000004</v>
      </c>
      <c r="AP529" s="167" t="s">
        <v>344</v>
      </c>
      <c r="AQ529" s="367">
        <v>2460</v>
      </c>
      <c r="AR529" s="365">
        <v>54</v>
      </c>
      <c r="AS529" s="127">
        <v>66.920900000000003</v>
      </c>
    </row>
    <row r="530" spans="14:45" ht="15.75" thickBot="1" x14ac:dyDescent="0.3">
      <c r="N530" s="166"/>
      <c r="O530" s="166"/>
      <c r="P530" s="155"/>
      <c r="Q530" s="166"/>
      <c r="R530" s="166"/>
      <c r="S530" s="166"/>
      <c r="T530" s="166"/>
      <c r="U530" s="155"/>
      <c r="V530" s="166"/>
      <c r="W530" s="166"/>
      <c r="X530" s="166"/>
      <c r="Y530" s="166"/>
      <c r="Z530" s="155"/>
      <c r="AA530" s="166"/>
      <c r="AB530" s="166"/>
      <c r="AC530" s="166"/>
      <c r="AD530" s="166"/>
      <c r="AE530" s="155"/>
      <c r="AF530" s="166"/>
      <c r="AG530" s="166"/>
      <c r="AH530" s="166"/>
      <c r="AI530" s="166"/>
      <c r="AJ530" s="155"/>
      <c r="AK530" s="166"/>
      <c r="AL530" s="166"/>
      <c r="AM530" s="125"/>
      <c r="AN530" s="125"/>
      <c r="AO530" s="154">
        <f t="shared" si="40"/>
        <v>66.920900000000003</v>
      </c>
      <c r="AP530" s="188" t="s">
        <v>345</v>
      </c>
      <c r="AQ530" s="374">
        <v>3040</v>
      </c>
      <c r="AR530" s="369">
        <v>54</v>
      </c>
      <c r="AS530" s="203">
        <v>80.84859999999999</v>
      </c>
    </row>
    <row r="531" spans="14:45" ht="15.75" thickBot="1" x14ac:dyDescent="0.3">
      <c r="N531" s="166"/>
      <c r="O531" s="166"/>
      <c r="P531" s="155"/>
      <c r="Q531" s="166"/>
      <c r="R531" s="166"/>
      <c r="S531" s="166"/>
      <c r="T531" s="166"/>
      <c r="U531" s="155"/>
      <c r="V531" s="166"/>
      <c r="W531" s="166"/>
      <c r="X531" s="166"/>
      <c r="Y531" s="166"/>
      <c r="Z531" s="155"/>
      <c r="AA531" s="166"/>
      <c r="AB531" s="166"/>
      <c r="AC531" s="166"/>
      <c r="AD531" s="166"/>
      <c r="AE531" s="155"/>
      <c r="AF531" s="166"/>
      <c r="AG531" s="166"/>
      <c r="AH531" s="166"/>
      <c r="AI531" s="166"/>
      <c r="AJ531" s="155"/>
      <c r="AK531" s="166"/>
      <c r="AL531" s="166"/>
      <c r="AM531" s="125"/>
      <c r="AN531" s="125"/>
      <c r="AO531" s="165">
        <f t="shared" si="40"/>
        <v>80.84859999999999</v>
      </c>
      <c r="AP531" s="165" t="s">
        <v>353</v>
      </c>
      <c r="AQ531" s="153"/>
      <c r="AR531" s="151"/>
      <c r="AS531" s="198"/>
    </row>
  </sheetData>
  <sortState xmlns:xlrd2="http://schemas.microsoft.com/office/spreadsheetml/2017/richdata2" ref="AP271:AS530">
    <sortCondition ref="AS271:AS530"/>
  </sortState>
  <mergeCells count="1">
    <mergeCell ref="F3:F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617B982CC17F45B3DEA5C96B7F7DB2" ma:contentTypeVersion="1" ma:contentTypeDescription="Create a new document." ma:contentTypeScope="" ma:versionID="d81106c4295aee6a3e393a6fb6ad995e">
  <xsd:schema xmlns:xsd="http://www.w3.org/2001/XMLSchema" xmlns:xs="http://www.w3.org/2001/XMLSchema" xmlns:p="http://schemas.microsoft.com/office/2006/metadata/properties" xmlns:ns2="71ea4d20-2f94-44bc-a7a5-2fdb2b42bcc9" targetNamespace="http://schemas.microsoft.com/office/2006/metadata/properties" ma:root="true" ma:fieldsID="2acbf4c60c991515bfe9f4408a31caa3" ns2:_="">
    <xsd:import namespace="71ea4d20-2f94-44bc-a7a5-2fdb2b42bcc9"/>
    <xsd:element name="properties">
      <xsd:complexType>
        <xsd:sequence>
          <xsd:element name="documentManagement">
            <xsd:complexType>
              <xsd:all>
                <xsd:element ref="ns2:Appl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a4d20-2f94-44bc-a7a5-2fdb2b42bcc9" elementFormDefault="qualified">
    <xsd:import namespace="http://schemas.microsoft.com/office/2006/documentManagement/types"/>
    <xsd:import namespace="http://schemas.microsoft.com/office/infopath/2007/PartnerControls"/>
    <xsd:element name="Application" ma:index="8" ma:displayName="Application" ma:description="Application Type for this Spreadsheet" ma:format="Dropdown" ma:internalName="Application">
      <xsd:simpleType>
        <xsd:restriction base="dms:Choice">
          <xsd:enumeration value="(ASD) Box Culvert"/>
          <xsd:enumeration value="(ASD) Headwalls/Wingwalls"/>
          <xsd:enumeration value="(ASD) Spread Footing"/>
          <xsd:enumeration value="(ASD) Steel Beam Analysis"/>
          <xsd:enumeration value="(LRFD) Drilled Shaft Foundations"/>
          <xsd:enumeration value="(LRFD) Drilled Shaft Walls"/>
          <xsd:enumeration value="(LRFD) Gravity Walls"/>
          <xsd:enumeration value="(LRFD) Reinforced Soil Slope"/>
          <xsd:enumeration value="(LRFD) Spread Footing"/>
          <xsd:enumeration value="(LRFD) Tieback Anchor Walls"/>
          <xsd:enumeration value="Drilled Shaft Reinforcement"/>
          <xsd:enumeration value="Drilled Shaft Wall Loading"/>
          <xsd:enumeration value="Drilled Shaft Wall Resistance"/>
          <xsd:enumeration value="Driven Piles"/>
          <xsd:enumeration value="Earth Pressure"/>
          <xsd:enumeration value="Liang Analysis"/>
          <xsd:enumeration value="LPILE Analysis"/>
          <xsd:enumeration value="MSE Walls"/>
          <xsd:enumeration value="Retaining Wall Costs"/>
          <xsd:enumeration value="Rockfall"/>
          <xsd:enumeration value="Settlement"/>
          <xsd:enumeration value="Soil Classification"/>
          <xsd:enumeration value="Soil Strength"/>
          <xsd:enumeration value="Subgrade Resiliant Modulu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Application xmlns="71ea4d20-2f94-44bc-a7a5-2fdb2b42bcc9">(LRFD) Drilled Shaft Walls</Application>
  </documentManagement>
</p:properties>
</file>

<file path=customXml/itemProps1.xml><?xml version="1.0" encoding="utf-8"?>
<ds:datastoreItem xmlns:ds="http://schemas.openxmlformats.org/officeDocument/2006/customXml" ds:itemID="{F5FE7EA1-F79B-418C-956F-2DFA8C0A79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46C6AC-D8ED-44A6-80EA-471D12D3E9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a4d20-2f94-44bc-a7a5-2fdb2b42b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605204-14B0-4EA3-B727-C04B41F480EC}">
  <ds:schemaRefs>
    <ds:schemaRef ds:uri="http://schemas.openxmlformats.org/package/2006/metadata/core-properties"/>
    <ds:schemaRef ds:uri="71ea4d20-2f94-44bc-a7a5-2fdb2b42bcc9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Inputs</vt:lpstr>
      <vt:lpstr>Cost Analysis</vt:lpstr>
      <vt:lpstr>Lookups</vt:lpstr>
      <vt:lpstr>alpha</vt:lpstr>
      <vt:lpstr>beta</vt:lpstr>
      <vt:lpstr>beta_dh</vt:lpstr>
      <vt:lpstr>d_tau</vt:lpstr>
      <vt:lpstr>delta</vt:lpstr>
      <vt:lpstr>Drop</vt:lpstr>
      <vt:lpstr>EH_Factor</vt:lpstr>
      <vt:lpstr>eta</vt:lpstr>
      <vt:lpstr>Flexure_Factor</vt:lpstr>
      <vt:lpstr>FoS</vt:lpstr>
      <vt:lpstr>Fy</vt:lpstr>
      <vt:lpstr>Ka</vt:lpstr>
      <vt:lpstr>LS_Factor</vt:lpstr>
      <vt:lpstr>Method</vt:lpstr>
      <vt:lpstr>phi</vt:lpstr>
      <vt:lpstr>Pile_Top</vt:lpstr>
      <vt:lpstr>Inputs!Print_Area</vt:lpstr>
      <vt:lpstr>Shaft_Load</vt:lpstr>
      <vt:lpstr>Shear_Factor</vt:lpstr>
      <vt:lpstr>Wall_Base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Drilled Shaft Design - Landslide Loading - by LRFD</dc:title>
  <dc:creator/>
  <cp:lastModifiedBy/>
  <dcterms:created xsi:type="dcterms:W3CDTF">2006-09-16T00:00:00Z</dcterms:created>
  <dcterms:modified xsi:type="dcterms:W3CDTF">2021-10-27T17:51:43Z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0x01010024617B982CC17F45B3DEA5C96B7F7DB2</vt:lpwstr>
  </property>
  <property fmtid="{D5CDD505-2E9C-101B-9397-08002B2CF9AE}" pid="3" name="Order">
    <vt:r8>2500</vt:r8>
  </property>
</Properties>
</file>